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835" tabRatio="724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perating Data Update " sheetId="6" r:id="rId6"/>
    <sheet name="Restated 15 QTRS" sheetId="7" r:id="rId7"/>
    <sheet name="Restated 16 QTRS" sheetId="9" r:id="rId8"/>
  </sheets>
  <definedNames>
    <definedName name="_xlnm.Print_Area" localSheetId="2">'Balance Sheet'!$A$1:$F$57</definedName>
    <definedName name="_xlnm.Print_Area" localSheetId="3">'Cash Flow'!$A$1:$E$54</definedName>
    <definedName name="_xlnm.Print_Area" localSheetId="0">'Consolidated Results'!$A$1:$K$66</definedName>
    <definedName name="_xlnm.Print_Area" localSheetId="4">'Equity Summary'!$A$1:$O$44</definedName>
    <definedName name="_xlnm.Print_Area" localSheetId="5">'Operating Data Update '!$A$1:$K$24</definedName>
    <definedName name="_xlnm.Print_Area" localSheetId="6">'Restated 15 QTRS'!$A$1:$Z$137</definedName>
    <definedName name="_xlnm.Print_Area" localSheetId="7">'Restated 16 QTRS'!$A$1:$Z$143</definedName>
    <definedName name="_xlnm.Print_Area" localSheetId="1">'Segment Results '!$A$1:$R$53</definedName>
  </definedNames>
  <calcPr calcId="152511"/>
</workbook>
</file>

<file path=xl/calcChain.xml><?xml version="1.0" encoding="utf-8"?>
<calcChain xmlns="http://schemas.openxmlformats.org/spreadsheetml/2006/main">
  <c r="C27" i="2" l="1"/>
  <c r="V138" i="9" l="1"/>
  <c r="V140" i="9" s="1"/>
  <c r="V136" i="9"/>
  <c r="V130" i="9"/>
  <c r="V128" i="9"/>
  <c r="V132" i="9" s="1"/>
  <c r="P138" i="9"/>
  <c r="P136" i="9"/>
  <c r="P130" i="9"/>
  <c r="P128" i="9"/>
  <c r="P69" i="9"/>
  <c r="P67" i="9"/>
  <c r="P61" i="9"/>
  <c r="P59" i="9"/>
  <c r="P63" i="9" s="1"/>
  <c r="L140" i="9"/>
  <c r="R80" i="9"/>
  <c r="Z78" i="9"/>
  <c r="T78" i="9"/>
  <c r="R12" i="9"/>
  <c r="R13" i="9"/>
  <c r="R47" i="9"/>
  <c r="E137" i="7"/>
  <c r="E135" i="7"/>
  <c r="E133" i="7"/>
  <c r="E127" i="7"/>
  <c r="E129" i="7" s="1"/>
  <c r="E125" i="7"/>
  <c r="K135" i="7"/>
  <c r="K137" i="7" s="1"/>
  <c r="K127" i="7"/>
  <c r="K129" i="7"/>
  <c r="Q135" i="7"/>
  <c r="Q137" i="7" s="1"/>
  <c r="Q133" i="7"/>
  <c r="Q127" i="7"/>
  <c r="Q125" i="7"/>
  <c r="Q129" i="7" s="1"/>
  <c r="W137" i="7"/>
  <c r="W129" i="7"/>
  <c r="W70" i="7"/>
  <c r="W60" i="7"/>
  <c r="W62" i="7" s="1"/>
  <c r="W58" i="7"/>
  <c r="Q68" i="7"/>
  <c r="Q66" i="7"/>
  <c r="Q70" i="7" s="1"/>
  <c r="Q62" i="7"/>
  <c r="Q60" i="7"/>
  <c r="Q58" i="7"/>
  <c r="K70" i="7"/>
  <c r="K62" i="7"/>
  <c r="E68" i="7"/>
  <c r="E66" i="7"/>
  <c r="E60" i="7"/>
  <c r="E62" i="7"/>
  <c r="E58" i="7"/>
  <c r="E70" i="7"/>
  <c r="P71" i="9" l="1"/>
  <c r="P140" i="9"/>
  <c r="P132" i="9"/>
  <c r="E26" i="2" l="1"/>
  <c r="E25" i="2"/>
  <c r="V43" i="9" l="1"/>
  <c r="N47" i="9"/>
  <c r="H47" i="9"/>
  <c r="N118" i="9" l="1"/>
  <c r="N130" i="9" s="1"/>
  <c r="L130" i="9" s="1"/>
  <c r="L132" i="9" s="1"/>
  <c r="H118" i="9"/>
  <c r="N49" i="9" s="1"/>
  <c r="T112" i="9"/>
  <c r="N112" i="9"/>
  <c r="H112" i="9"/>
  <c r="H43" i="9" s="1"/>
  <c r="Z108" i="9"/>
  <c r="T108" i="9"/>
  <c r="N108" i="9"/>
  <c r="H108" i="9"/>
  <c r="Z106" i="9"/>
  <c r="T106" i="9"/>
  <c r="N106" i="9"/>
  <c r="N37" i="9" s="1"/>
  <c r="H106" i="9"/>
  <c r="H37" i="9" s="1"/>
  <c r="Z102" i="9"/>
  <c r="N102" i="9"/>
  <c r="H102" i="9"/>
  <c r="H33" i="9" s="1"/>
  <c r="X100" i="9"/>
  <c r="X104" i="9" s="1"/>
  <c r="X110" i="9" s="1"/>
  <c r="X114" i="9" s="1"/>
  <c r="L100" i="9"/>
  <c r="L104" i="9" s="1"/>
  <c r="J100" i="9"/>
  <c r="J104" i="9" s="1"/>
  <c r="F100" i="9"/>
  <c r="F104" i="9" s="1"/>
  <c r="F110" i="9" s="1"/>
  <c r="F114" i="9" s="1"/>
  <c r="F120" i="9" s="1"/>
  <c r="F51" i="9" s="1"/>
  <c r="D100" i="9"/>
  <c r="Z98" i="9"/>
  <c r="T98" i="9"/>
  <c r="N98" i="9"/>
  <c r="H98" i="9"/>
  <c r="H29" i="9" s="1"/>
  <c r="Z96" i="9"/>
  <c r="T96" i="9"/>
  <c r="N96" i="9"/>
  <c r="H96" i="9"/>
  <c r="H27" i="9" s="1"/>
  <c r="Z94" i="9"/>
  <c r="T94" i="9"/>
  <c r="N94" i="9"/>
  <c r="H94" i="9"/>
  <c r="H25" i="9" s="1"/>
  <c r="Z92" i="9"/>
  <c r="R92" i="9"/>
  <c r="N92" i="9"/>
  <c r="H92" i="9"/>
  <c r="H23" i="9" s="1"/>
  <c r="Z90" i="9"/>
  <c r="T90" i="9"/>
  <c r="T21" i="9" s="1"/>
  <c r="N90" i="9"/>
  <c r="N100" i="9" s="1"/>
  <c r="H90" i="9"/>
  <c r="J88" i="9"/>
  <c r="D88" i="9"/>
  <c r="X86" i="9"/>
  <c r="R86" i="9"/>
  <c r="L86" i="9"/>
  <c r="F86" i="9"/>
  <c r="Z84" i="9"/>
  <c r="T84" i="9"/>
  <c r="N84" i="9"/>
  <c r="H84" i="9"/>
  <c r="H15" i="9" s="1"/>
  <c r="Z82" i="9"/>
  <c r="T82" i="9"/>
  <c r="N82" i="9"/>
  <c r="H82" i="9"/>
  <c r="H13" i="9" s="1"/>
  <c r="X80" i="9"/>
  <c r="X88" i="9" s="1"/>
  <c r="H80" i="9"/>
  <c r="N78" i="9"/>
  <c r="T9" i="9" s="1"/>
  <c r="H78" i="9"/>
  <c r="H9" i="9" s="1"/>
  <c r="D69" i="9"/>
  <c r="D61" i="9"/>
  <c r="V50" i="9"/>
  <c r="V49" i="9"/>
  <c r="L49" i="9"/>
  <c r="J49" i="9"/>
  <c r="F49" i="9"/>
  <c r="D49" i="9"/>
  <c r="X47" i="9"/>
  <c r="V47" i="9"/>
  <c r="V44" i="9"/>
  <c r="X43" i="9"/>
  <c r="L43" i="9"/>
  <c r="J43" i="9"/>
  <c r="F43" i="9"/>
  <c r="D43" i="9"/>
  <c r="V42" i="9"/>
  <c r="V40" i="9"/>
  <c r="X39" i="9"/>
  <c r="V39" i="9"/>
  <c r="R39" i="9"/>
  <c r="L39" i="9"/>
  <c r="J39" i="9"/>
  <c r="H39" i="9"/>
  <c r="F39" i="9"/>
  <c r="D39" i="9"/>
  <c r="V38" i="9"/>
  <c r="X37" i="9"/>
  <c r="V37" i="9"/>
  <c r="R37" i="9"/>
  <c r="L37" i="9"/>
  <c r="J37" i="9"/>
  <c r="F37" i="9"/>
  <c r="D37" i="9"/>
  <c r="V36" i="9"/>
  <c r="V34" i="9"/>
  <c r="X33" i="9"/>
  <c r="L33" i="9"/>
  <c r="J33" i="9"/>
  <c r="F33" i="9"/>
  <c r="D33" i="9"/>
  <c r="V32" i="9"/>
  <c r="V30" i="9"/>
  <c r="X29" i="9"/>
  <c r="V29" i="9"/>
  <c r="R29" i="9"/>
  <c r="L29" i="9"/>
  <c r="J29" i="9"/>
  <c r="F29" i="9"/>
  <c r="D29" i="9"/>
  <c r="Z28" i="9"/>
  <c r="X28" i="9"/>
  <c r="V28" i="9"/>
  <c r="T28" i="9"/>
  <c r="R28" i="9"/>
  <c r="X27" i="9"/>
  <c r="V27" i="9"/>
  <c r="R27" i="9"/>
  <c r="L27" i="9"/>
  <c r="J27" i="9"/>
  <c r="F27" i="9"/>
  <c r="D27" i="9"/>
  <c r="Z26" i="9"/>
  <c r="X26" i="9"/>
  <c r="V26" i="9"/>
  <c r="T26" i="9"/>
  <c r="R26" i="9"/>
  <c r="X25" i="9"/>
  <c r="V25" i="9"/>
  <c r="R25" i="9"/>
  <c r="L25" i="9"/>
  <c r="J25" i="9"/>
  <c r="F25" i="9"/>
  <c r="D25" i="9"/>
  <c r="V24" i="9"/>
  <c r="V23" i="9"/>
  <c r="L23" i="9"/>
  <c r="J23" i="9"/>
  <c r="F23" i="9"/>
  <c r="D23" i="9"/>
  <c r="V22" i="9"/>
  <c r="X21" i="9"/>
  <c r="X31" i="9" s="1"/>
  <c r="X35" i="9" s="1"/>
  <c r="V21" i="9"/>
  <c r="R21" i="9"/>
  <c r="L21" i="9"/>
  <c r="J21" i="9"/>
  <c r="F21" i="9"/>
  <c r="D21" i="9"/>
  <c r="V20" i="9"/>
  <c r="V18" i="9"/>
  <c r="V17" i="9"/>
  <c r="J17" i="9"/>
  <c r="D17" i="9"/>
  <c r="Z16" i="9"/>
  <c r="X16" i="9"/>
  <c r="V16" i="9"/>
  <c r="T16" i="9"/>
  <c r="R16" i="9"/>
  <c r="X15" i="9"/>
  <c r="V15" i="9"/>
  <c r="R15" i="9"/>
  <c r="L15" i="9"/>
  <c r="J15" i="9"/>
  <c r="F15" i="9"/>
  <c r="D15" i="9"/>
  <c r="Z14" i="9"/>
  <c r="X14" i="9"/>
  <c r="V14" i="9"/>
  <c r="T14" i="9"/>
  <c r="R14" i="9"/>
  <c r="X13" i="9"/>
  <c r="V13" i="9"/>
  <c r="L13" i="9"/>
  <c r="J13" i="9"/>
  <c r="F13" i="9"/>
  <c r="D13" i="9"/>
  <c r="Z12" i="9"/>
  <c r="X12" i="9"/>
  <c r="V12" i="9"/>
  <c r="T12" i="9"/>
  <c r="Z11" i="9"/>
  <c r="V11" i="9"/>
  <c r="T11" i="9"/>
  <c r="N11" i="9"/>
  <c r="L11" i="9"/>
  <c r="J11" i="9"/>
  <c r="H11" i="9"/>
  <c r="F11" i="9"/>
  <c r="D11" i="9"/>
  <c r="V10" i="9"/>
  <c r="X9" i="9"/>
  <c r="V9" i="9"/>
  <c r="R9" i="9"/>
  <c r="L9" i="9"/>
  <c r="J9" i="9"/>
  <c r="F9" i="9"/>
  <c r="D9" i="9"/>
  <c r="T27" i="9" l="1"/>
  <c r="T39" i="9"/>
  <c r="D31" i="9"/>
  <c r="D35" i="9" s="1"/>
  <c r="T25" i="9"/>
  <c r="T29" i="9"/>
  <c r="T37" i="9"/>
  <c r="F31" i="9"/>
  <c r="F35" i="9" s="1"/>
  <c r="N21" i="9"/>
  <c r="J31" i="9"/>
  <c r="N39" i="9"/>
  <c r="T13" i="9"/>
  <c r="H21" i="9"/>
  <c r="H31" i="9" s="1"/>
  <c r="H35" i="9" s="1"/>
  <c r="V61" i="9"/>
  <c r="V69" i="9"/>
  <c r="T43" i="9"/>
  <c r="H130" i="9"/>
  <c r="T15" i="9"/>
  <c r="T86" i="9"/>
  <c r="R88" i="9"/>
  <c r="D19" i="9"/>
  <c r="Z37" i="9"/>
  <c r="H49" i="9"/>
  <c r="J19" i="9"/>
  <c r="N138" i="9"/>
  <c r="Z100" i="9"/>
  <c r="Z104" i="9" s="1"/>
  <c r="Z110" i="9" s="1"/>
  <c r="X41" i="9"/>
  <c r="X45" i="9" s="1"/>
  <c r="X49" i="9" s="1"/>
  <c r="Z39" i="9"/>
  <c r="Z21" i="9"/>
  <c r="T88" i="9"/>
  <c r="Z25" i="9"/>
  <c r="Z13" i="9"/>
  <c r="Z27" i="9"/>
  <c r="Z15" i="9"/>
  <c r="Z29" i="9"/>
  <c r="N33" i="9"/>
  <c r="F45" i="9"/>
  <c r="L110" i="9"/>
  <c r="L35" i="9"/>
  <c r="X118" i="9"/>
  <c r="Z118" i="9" s="1"/>
  <c r="F88" i="9"/>
  <c r="H86" i="9"/>
  <c r="H17" i="9" s="1"/>
  <c r="H19" i="9" s="1"/>
  <c r="V31" i="9"/>
  <c r="N23" i="9"/>
  <c r="N43" i="9"/>
  <c r="V19" i="9"/>
  <c r="N13" i="9"/>
  <c r="N15" i="9"/>
  <c r="N25" i="9"/>
  <c r="N27" i="9"/>
  <c r="N29" i="9"/>
  <c r="V33" i="9"/>
  <c r="Z33" i="9" s="1"/>
  <c r="N9" i="9"/>
  <c r="X11" i="9"/>
  <c r="R100" i="9"/>
  <c r="T92" i="9"/>
  <c r="T23" i="9" s="1"/>
  <c r="H100" i="9"/>
  <c r="H104" i="9" s="1"/>
  <c r="H110" i="9" s="1"/>
  <c r="H122" i="9" s="1"/>
  <c r="Z9" i="9"/>
  <c r="Z112" i="9"/>
  <c r="N86" i="9"/>
  <c r="L17" i="9"/>
  <c r="N104" i="9"/>
  <c r="D104" i="9"/>
  <c r="D110" i="9" s="1"/>
  <c r="F17" i="9"/>
  <c r="F19" i="9" s="1"/>
  <c r="R17" i="9"/>
  <c r="R19" i="9" s="1"/>
  <c r="L31" i="9"/>
  <c r="F41" i="9"/>
  <c r="X17" i="9"/>
  <c r="Z86" i="9"/>
  <c r="L88" i="9"/>
  <c r="Z23" i="9"/>
  <c r="J110" i="9"/>
  <c r="T102" i="9"/>
  <c r="T33" i="9"/>
  <c r="N69" i="9"/>
  <c r="L69" i="9" s="1"/>
  <c r="L71" i="9" s="1"/>
  <c r="N61" i="9"/>
  <c r="L61" i="9" s="1"/>
  <c r="Z31" i="9" l="1"/>
  <c r="L19" i="9"/>
  <c r="H61" i="9"/>
  <c r="F61" i="9" s="1"/>
  <c r="F130" i="9"/>
  <c r="Z17" i="9"/>
  <c r="N31" i="9"/>
  <c r="Z35" i="9"/>
  <c r="Z41" i="9" s="1"/>
  <c r="Z114" i="9"/>
  <c r="Z120" i="9" s="1"/>
  <c r="X120" i="9"/>
  <c r="J35" i="9"/>
  <c r="N17" i="9"/>
  <c r="Z122" i="9"/>
  <c r="T100" i="9"/>
  <c r="L41" i="9"/>
  <c r="L114" i="9"/>
  <c r="Z43" i="9"/>
  <c r="J114" i="9"/>
  <c r="J41" i="9"/>
  <c r="J53" i="9" s="1"/>
  <c r="J122" i="9"/>
  <c r="N110" i="9"/>
  <c r="N35" i="9"/>
  <c r="Z19" i="9"/>
  <c r="H41" i="9"/>
  <c r="H53" i="9" s="1"/>
  <c r="H114" i="9"/>
  <c r="T17" i="9"/>
  <c r="N88" i="9"/>
  <c r="D41" i="9"/>
  <c r="D53" i="9" s="1"/>
  <c r="D114" i="9"/>
  <c r="D122" i="9"/>
  <c r="H88" i="9"/>
  <c r="V122" i="9"/>
  <c r="Z88" i="9"/>
  <c r="V35" i="9"/>
  <c r="V41" i="9" s="1"/>
  <c r="V45" i="9" s="1"/>
  <c r="Z138" i="9"/>
  <c r="X138" i="9" s="1"/>
  <c r="Z130" i="9"/>
  <c r="X130" i="9" s="1"/>
  <c r="V67" i="9" l="1"/>
  <c r="V71" i="9" s="1"/>
  <c r="V59" i="9"/>
  <c r="V63" i="9" s="1"/>
  <c r="X132" i="9"/>
  <c r="Z53" i="9"/>
  <c r="Z128" i="9"/>
  <c r="X128" i="9" s="1"/>
  <c r="Z136" i="9"/>
  <c r="Z132" i="9"/>
  <c r="T104" i="9"/>
  <c r="T31" i="9"/>
  <c r="D136" i="9"/>
  <c r="D45" i="9"/>
  <c r="D120" i="9"/>
  <c r="V51" i="9"/>
  <c r="J120" i="9"/>
  <c r="J45" i="9"/>
  <c r="V53" i="9"/>
  <c r="L45" i="9"/>
  <c r="L120" i="9"/>
  <c r="L51" i="9" s="1"/>
  <c r="N19" i="9"/>
  <c r="T19" i="9"/>
  <c r="H128" i="9"/>
  <c r="H45" i="9"/>
  <c r="H136" i="9"/>
  <c r="H120" i="9"/>
  <c r="N114" i="9"/>
  <c r="N41" i="9"/>
  <c r="N53" i="9" s="1"/>
  <c r="N122" i="9"/>
  <c r="Z45" i="9"/>
  <c r="H67" i="9" l="1"/>
  <c r="F136" i="9"/>
  <c r="Z140" i="9"/>
  <c r="X136" i="9"/>
  <c r="X140" i="9" s="1"/>
  <c r="D51" i="9"/>
  <c r="D128" i="9"/>
  <c r="F128" i="9" s="1"/>
  <c r="F132" i="9" s="1"/>
  <c r="Z67" i="9"/>
  <c r="X67" i="9" s="1"/>
  <c r="Z59" i="9"/>
  <c r="X59" i="9" s="1"/>
  <c r="J136" i="9"/>
  <c r="J140" i="9" s="1"/>
  <c r="J51" i="9"/>
  <c r="J128" i="9"/>
  <c r="J132" i="9" s="1"/>
  <c r="N120" i="9"/>
  <c r="N51" i="9" s="1"/>
  <c r="N128" i="9"/>
  <c r="N132" i="9" s="1"/>
  <c r="N136" i="9"/>
  <c r="N140" i="9" s="1"/>
  <c r="N45" i="9"/>
  <c r="H132" i="9"/>
  <c r="H59" i="9"/>
  <c r="D67" i="9"/>
  <c r="D71" i="9" s="1"/>
  <c r="D140" i="9"/>
  <c r="H140" i="9"/>
  <c r="H138" i="9" s="1"/>
  <c r="H51" i="9"/>
  <c r="J67" i="9"/>
  <c r="J71" i="9" s="1"/>
  <c r="J59" i="9"/>
  <c r="J63" i="9" s="1"/>
  <c r="T110" i="9"/>
  <c r="T35" i="9"/>
  <c r="H63" i="9" l="1"/>
  <c r="F140" i="9"/>
  <c r="H69" i="9"/>
  <c r="F138" i="9"/>
  <c r="F67" i="9"/>
  <c r="T41" i="9"/>
  <c r="T53" i="9" s="1"/>
  <c r="T114" i="9"/>
  <c r="T122" i="9"/>
  <c r="N67" i="9"/>
  <c r="N71" i="9" s="1"/>
  <c r="N59" i="9"/>
  <c r="R49" i="9"/>
  <c r="T118" i="9"/>
  <c r="Z49" i="9" s="1"/>
  <c r="Z61" i="9" s="1"/>
  <c r="D132" i="9"/>
  <c r="D59" i="9"/>
  <c r="D63" i="9" s="1"/>
  <c r="H71" i="9" l="1"/>
  <c r="F69" i="9"/>
  <c r="F71" i="9" s="1"/>
  <c r="N63" i="9"/>
  <c r="L59" i="9"/>
  <c r="L63" i="9" s="1"/>
  <c r="F59" i="9"/>
  <c r="F63" i="9" s="1"/>
  <c r="R120" i="9"/>
  <c r="R51" i="9" s="1"/>
  <c r="T128" i="9"/>
  <c r="R128" i="9" s="1"/>
  <c r="T45" i="9"/>
  <c r="T136" i="9"/>
  <c r="R136" i="9" s="1"/>
  <c r="T120" i="9"/>
  <c r="T51" i="9" s="1"/>
  <c r="T138" i="9"/>
  <c r="R138" i="9" s="1"/>
  <c r="T49" i="9"/>
  <c r="T130" i="9"/>
  <c r="R130" i="9" s="1"/>
  <c r="X51" i="9" l="1"/>
  <c r="R132" i="9"/>
  <c r="R140" i="9"/>
  <c r="T140" i="9"/>
  <c r="Z69" i="9"/>
  <c r="X69" i="9" s="1"/>
  <c r="X71" i="9" s="1"/>
  <c r="X61" i="9"/>
  <c r="X63" i="9" s="1"/>
  <c r="Z51" i="9"/>
  <c r="T67" i="9"/>
  <c r="T59" i="9"/>
  <c r="R59" i="9" s="1"/>
  <c r="T69" i="9"/>
  <c r="R69" i="9" s="1"/>
  <c r="T61" i="9"/>
  <c r="R61" i="9" s="1"/>
  <c r="T132" i="9"/>
  <c r="R63" i="9" l="1"/>
  <c r="Z63" i="9"/>
  <c r="Z71" i="9"/>
  <c r="T71" i="9"/>
  <c r="R67" i="9"/>
  <c r="R71" i="9" s="1"/>
  <c r="T63" i="9"/>
  <c r="C31" i="3" l="1"/>
  <c r="C21" i="3"/>
  <c r="H16" i="5" l="1"/>
  <c r="U137" i="7" l="1"/>
  <c r="S137" i="7"/>
  <c r="O137" i="7"/>
  <c r="M137" i="7"/>
  <c r="G133" i="7"/>
  <c r="G137" i="7" s="1"/>
  <c r="U129" i="7"/>
  <c r="S129" i="7"/>
  <c r="O129" i="7"/>
  <c r="M129" i="7"/>
  <c r="M119" i="7"/>
  <c r="Y115" i="7"/>
  <c r="Y127" i="7" s="1"/>
  <c r="S115" i="7"/>
  <c r="M115" i="7"/>
  <c r="S48" i="7" s="1"/>
  <c r="G115" i="7"/>
  <c r="G135" i="7" s="1"/>
  <c r="Y111" i="7"/>
  <c r="S111" i="7"/>
  <c r="M111" i="7"/>
  <c r="S44" i="7" s="1"/>
  <c r="G111" i="7"/>
  <c r="Q109" i="7"/>
  <c r="Q113" i="7" s="1"/>
  <c r="Y107" i="7"/>
  <c r="S107" i="7"/>
  <c r="M107" i="7"/>
  <c r="S40" i="7" s="1"/>
  <c r="G107" i="7"/>
  <c r="M40" i="7" s="1"/>
  <c r="Y105" i="7"/>
  <c r="Y38" i="7" s="1"/>
  <c r="S105" i="7"/>
  <c r="M105" i="7"/>
  <c r="S38" i="7" s="1"/>
  <c r="G105" i="7"/>
  <c r="Y103" i="7"/>
  <c r="Y109" i="7" s="1"/>
  <c r="Q103" i="7"/>
  <c r="K103" i="7"/>
  <c r="K109" i="7" s="1"/>
  <c r="I103" i="7"/>
  <c r="I109" i="7" s="1"/>
  <c r="K101" i="7"/>
  <c r="K34" i="7" s="1"/>
  <c r="Y99" i="7"/>
  <c r="W99" i="7"/>
  <c r="W103" i="7" s="1"/>
  <c r="W109" i="7" s="1"/>
  <c r="W113" i="7" s="1"/>
  <c r="W117" i="7" s="1"/>
  <c r="U99" i="7"/>
  <c r="U103" i="7" s="1"/>
  <c r="U109" i="7" s="1"/>
  <c r="S99" i="7"/>
  <c r="S32" i="7" s="1"/>
  <c r="S36" i="7" s="1"/>
  <c r="Q99" i="7"/>
  <c r="O99" i="7"/>
  <c r="O103" i="7" s="1"/>
  <c r="O109" i="7" s="1"/>
  <c r="O113" i="7" s="1"/>
  <c r="O117" i="7" s="1"/>
  <c r="M99" i="7"/>
  <c r="M103" i="7" s="1"/>
  <c r="M109" i="7" s="1"/>
  <c r="M113" i="7" s="1"/>
  <c r="M117" i="7" s="1"/>
  <c r="K99" i="7"/>
  <c r="K32" i="7" s="1"/>
  <c r="K36" i="7" s="1"/>
  <c r="G99" i="7"/>
  <c r="G103" i="7" s="1"/>
  <c r="G109" i="7" s="1"/>
  <c r="G113" i="7" s="1"/>
  <c r="E99" i="7"/>
  <c r="E103" i="7" s="1"/>
  <c r="E109" i="7" s="1"/>
  <c r="E113" i="7" s="1"/>
  <c r="E117" i="7" s="1"/>
  <c r="C99" i="7"/>
  <c r="C103" i="7" s="1"/>
  <c r="C109" i="7" s="1"/>
  <c r="Y87" i="7"/>
  <c r="W87" i="7"/>
  <c r="U87" i="7"/>
  <c r="S87" i="7"/>
  <c r="Q87" i="7"/>
  <c r="O87" i="7"/>
  <c r="I87" i="7"/>
  <c r="M87" i="7" s="1"/>
  <c r="G87" i="7"/>
  <c r="E87" i="7"/>
  <c r="C87" i="7"/>
  <c r="C58" i="7"/>
  <c r="C62" i="7" s="1"/>
  <c r="Y57" i="7"/>
  <c r="U57" i="7"/>
  <c r="S57" i="7"/>
  <c r="O57" i="7"/>
  <c r="M57" i="7"/>
  <c r="I57" i="7"/>
  <c r="Y48" i="7"/>
  <c r="Y68" i="7" s="1"/>
  <c r="W48" i="7"/>
  <c r="U48" i="7"/>
  <c r="Q48" i="7"/>
  <c r="O48" i="7"/>
  <c r="K48" i="7"/>
  <c r="I48" i="7"/>
  <c r="G48" i="7"/>
  <c r="G68" i="7" s="1"/>
  <c r="E48" i="7"/>
  <c r="C48" i="7"/>
  <c r="M46" i="7"/>
  <c r="M66" i="7" s="1"/>
  <c r="Y44" i="7"/>
  <c r="W44" i="7"/>
  <c r="U44" i="7"/>
  <c r="Q44" i="7"/>
  <c r="O44" i="7"/>
  <c r="M44" i="7"/>
  <c r="K44" i="7"/>
  <c r="I44" i="7"/>
  <c r="G44" i="7"/>
  <c r="G52" i="7" s="1"/>
  <c r="E44" i="7"/>
  <c r="C44" i="7"/>
  <c r="W42" i="7"/>
  <c r="M42" i="7"/>
  <c r="Y40" i="7"/>
  <c r="W40" i="7"/>
  <c r="U40" i="7"/>
  <c r="Q40" i="7"/>
  <c r="O40" i="7"/>
  <c r="K40" i="7"/>
  <c r="I40" i="7"/>
  <c r="G40" i="7"/>
  <c r="E40" i="7"/>
  <c r="C40" i="7"/>
  <c r="W38" i="7"/>
  <c r="U38" i="7"/>
  <c r="Q38" i="7"/>
  <c r="O38" i="7"/>
  <c r="M38" i="7"/>
  <c r="K38" i="7"/>
  <c r="I38" i="7"/>
  <c r="E38" i="7"/>
  <c r="G38" i="7" s="1"/>
  <c r="C38" i="7"/>
  <c r="Y34" i="7"/>
  <c r="W34" i="7"/>
  <c r="U34" i="7"/>
  <c r="S34" i="7"/>
  <c r="Q34" i="7"/>
  <c r="O34" i="7"/>
  <c r="M34" i="7"/>
  <c r="I34" i="7"/>
  <c r="G34" i="7"/>
  <c r="E34" i="7"/>
  <c r="C34" i="7"/>
  <c r="Y32" i="7"/>
  <c r="Y36" i="7" s="1"/>
  <c r="W32" i="7"/>
  <c r="W36" i="7" s="1"/>
  <c r="U32" i="7"/>
  <c r="U36" i="7" s="1"/>
  <c r="O32" i="7"/>
  <c r="O36" i="7" s="1"/>
  <c r="M32" i="7"/>
  <c r="M36" i="7" s="1"/>
  <c r="I32" i="7"/>
  <c r="I36" i="7" s="1"/>
  <c r="E32" i="7"/>
  <c r="E36" i="7" s="1"/>
  <c r="E42" i="7" s="1"/>
  <c r="E46" i="7" s="1"/>
  <c r="E50" i="7" s="1"/>
  <c r="Y30" i="7"/>
  <c r="W30" i="7"/>
  <c r="U30" i="7"/>
  <c r="S30" i="7"/>
  <c r="Q30" i="7"/>
  <c r="O30" i="7"/>
  <c r="M30" i="7"/>
  <c r="K30" i="7"/>
  <c r="I30" i="7"/>
  <c r="G30" i="7"/>
  <c r="E30" i="7"/>
  <c r="C30" i="7"/>
  <c r="Y28" i="7"/>
  <c r="W28" i="7"/>
  <c r="U28" i="7"/>
  <c r="S28" i="7"/>
  <c r="Q28" i="7"/>
  <c r="O28" i="7"/>
  <c r="M28" i="7"/>
  <c r="K28" i="7"/>
  <c r="I28" i="7"/>
  <c r="G28" i="7"/>
  <c r="E28" i="7"/>
  <c r="C28" i="7"/>
  <c r="Y26" i="7"/>
  <c r="W26" i="7"/>
  <c r="U26" i="7"/>
  <c r="S26" i="7"/>
  <c r="Q26" i="7"/>
  <c r="O26" i="7"/>
  <c r="M26" i="7"/>
  <c r="K26" i="7"/>
  <c r="I26" i="7"/>
  <c r="G26" i="7"/>
  <c r="E26" i="7"/>
  <c r="C26" i="7"/>
  <c r="Y24" i="7"/>
  <c r="W24" i="7"/>
  <c r="U24" i="7"/>
  <c r="S24" i="7"/>
  <c r="Q24" i="7"/>
  <c r="O24" i="7"/>
  <c r="M24" i="7"/>
  <c r="K24" i="7"/>
  <c r="I24" i="7"/>
  <c r="G24" i="7"/>
  <c r="E24" i="7"/>
  <c r="C24" i="7"/>
  <c r="Y22" i="7"/>
  <c r="W22" i="7"/>
  <c r="U22" i="7"/>
  <c r="S22" i="7"/>
  <c r="Q22" i="7"/>
  <c r="O22" i="7"/>
  <c r="M22" i="7"/>
  <c r="K22" i="7"/>
  <c r="I22" i="7"/>
  <c r="G22" i="7"/>
  <c r="G32" i="7" s="1"/>
  <c r="G36" i="7" s="1"/>
  <c r="G42" i="7" s="1"/>
  <c r="G46" i="7" s="1"/>
  <c r="E22" i="7"/>
  <c r="C22" i="7"/>
  <c r="C32" i="7" s="1"/>
  <c r="C36" i="7" s="1"/>
  <c r="C42" i="7" s="1"/>
  <c r="C46" i="7" s="1"/>
  <c r="C50" i="7" s="1"/>
  <c r="Y19" i="7"/>
  <c r="W19" i="7"/>
  <c r="U19" i="7"/>
  <c r="Q19" i="7"/>
  <c r="M19" i="7"/>
  <c r="K19" i="7"/>
  <c r="G19" i="7"/>
  <c r="E19" i="7"/>
  <c r="Y17" i="7"/>
  <c r="W17" i="7"/>
  <c r="U17" i="7"/>
  <c r="S17" i="7"/>
  <c r="Q17" i="7"/>
  <c r="O17" i="7"/>
  <c r="M17" i="7"/>
  <c r="K17" i="7"/>
  <c r="I17" i="7"/>
  <c r="G17" i="7"/>
  <c r="E17" i="7"/>
  <c r="C17" i="7"/>
  <c r="Y15" i="7"/>
  <c r="W15" i="7"/>
  <c r="U15" i="7"/>
  <c r="S15" i="7"/>
  <c r="Q15" i="7"/>
  <c r="O15" i="7"/>
  <c r="M15" i="7"/>
  <c r="K15" i="7"/>
  <c r="I15" i="7"/>
  <c r="G15" i="7"/>
  <c r="E15" i="7"/>
  <c r="C15" i="7"/>
  <c r="Y13" i="7"/>
  <c r="W13" i="7"/>
  <c r="U13" i="7"/>
  <c r="S13" i="7"/>
  <c r="Q13" i="7"/>
  <c r="O13" i="7"/>
  <c r="M13" i="7"/>
  <c r="K13" i="7"/>
  <c r="I13" i="7"/>
  <c r="G13" i="7"/>
  <c r="E13" i="7"/>
  <c r="C13" i="7"/>
  <c r="Y11" i="7"/>
  <c r="W11" i="7"/>
  <c r="U11" i="7"/>
  <c r="S11" i="7"/>
  <c r="Q11" i="7"/>
  <c r="O11" i="7"/>
  <c r="M11" i="7"/>
  <c r="K11" i="7"/>
  <c r="I11" i="7"/>
  <c r="G11" i="7"/>
  <c r="E11" i="7"/>
  <c r="C11" i="7"/>
  <c r="Y9" i="7"/>
  <c r="W9" i="7"/>
  <c r="U9" i="7"/>
  <c r="S9" i="7"/>
  <c r="Q9" i="7"/>
  <c r="O9" i="7"/>
  <c r="M9" i="7"/>
  <c r="K9" i="7"/>
  <c r="I9" i="7"/>
  <c r="G9" i="7"/>
  <c r="E9" i="7"/>
  <c r="C9" i="7"/>
  <c r="C19" i="7" s="1"/>
  <c r="G66" i="7" l="1"/>
  <c r="G70" i="7" s="1"/>
  <c r="G58" i="7"/>
  <c r="G50" i="7"/>
  <c r="I52" i="7"/>
  <c r="Y113" i="7"/>
  <c r="C119" i="7"/>
  <c r="C113" i="7"/>
  <c r="I119" i="7"/>
  <c r="I42" i="7"/>
  <c r="I113" i="7"/>
  <c r="Q46" i="7"/>
  <c r="Q117" i="7"/>
  <c r="W46" i="7"/>
  <c r="Y119" i="7"/>
  <c r="K42" i="7"/>
  <c r="K113" i="7"/>
  <c r="G60" i="7"/>
  <c r="O19" i="7"/>
  <c r="O42" i="7"/>
  <c r="O52" i="7" s="1"/>
  <c r="O46" i="7"/>
  <c r="M58" i="7"/>
  <c r="Y60" i="7"/>
  <c r="G117" i="7"/>
  <c r="M50" i="7" s="1"/>
  <c r="G125" i="7"/>
  <c r="G129" i="7" s="1"/>
  <c r="O119" i="7"/>
  <c r="G127" i="7"/>
  <c r="I19" i="7"/>
  <c r="Q42" i="7"/>
  <c r="C52" i="7"/>
  <c r="C66" i="7"/>
  <c r="C70" i="7" s="1"/>
  <c r="S68" i="7"/>
  <c r="S60" i="7"/>
  <c r="Y135" i="7"/>
  <c r="Q32" i="7"/>
  <c r="Q36" i="7" s="1"/>
  <c r="U42" i="7"/>
  <c r="U52" i="7" s="1"/>
  <c r="M52" i="7"/>
  <c r="M48" i="7"/>
  <c r="S19" i="7"/>
  <c r="U119" i="7"/>
  <c r="U113" i="7"/>
  <c r="S103" i="7"/>
  <c r="S109" i="7" s="1"/>
  <c r="G119" i="7"/>
  <c r="U117" i="7" l="1"/>
  <c r="U50" i="7" s="1"/>
  <c r="U46" i="7"/>
  <c r="O58" i="7"/>
  <c r="O62" i="7" s="1"/>
  <c r="O66" i="7"/>
  <c r="O70" i="7" s="1"/>
  <c r="C133" i="7"/>
  <c r="C137" i="7" s="1"/>
  <c r="C125" i="7"/>
  <c r="C129" i="7" s="1"/>
  <c r="C117" i="7"/>
  <c r="I125" i="7"/>
  <c r="I129" i="7" s="1"/>
  <c r="I46" i="7"/>
  <c r="I117" i="7"/>
  <c r="K46" i="7"/>
  <c r="K117" i="7"/>
  <c r="K50" i="7" s="1"/>
  <c r="Y133" i="7"/>
  <c r="Y137" i="7" s="1"/>
  <c r="Y117" i="7"/>
  <c r="Y125" i="7"/>
  <c r="Y129" i="7" s="1"/>
  <c r="S42" i="7"/>
  <c r="S52" i="7" s="1"/>
  <c r="S119" i="7"/>
  <c r="S113" i="7"/>
  <c r="M68" i="7"/>
  <c r="M70" i="7" s="1"/>
  <c r="M60" i="7"/>
  <c r="M62" i="7" s="1"/>
  <c r="W50" i="7"/>
  <c r="Y42" i="7"/>
  <c r="Y52" i="7" s="1"/>
  <c r="G62" i="7"/>
  <c r="I66" i="7" l="1"/>
  <c r="I70" i="7" s="1"/>
  <c r="I58" i="7"/>
  <c r="I62" i="7" s="1"/>
  <c r="Q50" i="7"/>
  <c r="S46" i="7"/>
  <c r="S117" i="7"/>
  <c r="S50" i="7" s="1"/>
  <c r="Y46" i="7"/>
  <c r="I50" i="7"/>
  <c r="I133" i="7"/>
  <c r="I137" i="7" s="1"/>
  <c r="O50" i="7"/>
  <c r="U66" i="7"/>
  <c r="U70" i="7" s="1"/>
  <c r="U58" i="7"/>
  <c r="U62" i="7" s="1"/>
  <c r="S66" i="7" l="1"/>
  <c r="S70" i="7" s="1"/>
  <c r="S58" i="7"/>
  <c r="S62" i="7" s="1"/>
  <c r="Y50" i="7"/>
  <c r="Y58" i="7"/>
  <c r="Y62" i="7" s="1"/>
  <c r="Y66" i="7"/>
  <c r="Y70" i="7" s="1"/>
  <c r="C19" i="3" l="1"/>
  <c r="C18" i="3"/>
  <c r="C47" i="3" l="1"/>
  <c r="C49" i="3" s="1"/>
  <c r="C33" i="3"/>
  <c r="C40" i="3" s="1"/>
  <c r="C15" i="3"/>
  <c r="C23" i="3" s="1"/>
  <c r="C50" i="3" l="1"/>
  <c r="D13" i="6"/>
  <c r="K27" i="2" l="1"/>
  <c r="K34" i="2"/>
  <c r="K33" i="2"/>
  <c r="K32" i="2"/>
  <c r="K31" i="2"/>
  <c r="C34" i="2"/>
  <c r="C33" i="2"/>
  <c r="C32" i="2"/>
  <c r="C31" i="2"/>
  <c r="G43" i="1"/>
  <c r="G38" i="1"/>
  <c r="C43" i="1"/>
  <c r="C38" i="1"/>
  <c r="G13" i="1"/>
  <c r="G17" i="1" s="1"/>
  <c r="G23" i="1" s="1"/>
  <c r="G27" i="1" s="1"/>
  <c r="G30" i="1" s="1"/>
  <c r="C13" i="1"/>
  <c r="C17" i="1" s="1"/>
  <c r="C23" i="1" s="1"/>
  <c r="C27" i="1" s="1"/>
  <c r="C30" i="1" s="1"/>
  <c r="E43" i="1" l="1"/>
  <c r="E38" i="1"/>
  <c r="E35" i="2"/>
  <c r="E34" i="2"/>
  <c r="E33" i="2"/>
  <c r="E32" i="2"/>
  <c r="E31" i="2"/>
  <c r="M35" i="2"/>
  <c r="M32" i="2"/>
  <c r="M33" i="2"/>
  <c r="M34" i="2"/>
  <c r="M31" i="2"/>
  <c r="E24" i="2"/>
  <c r="E23" i="2"/>
  <c r="E19" i="2"/>
  <c r="E18" i="2"/>
  <c r="E17" i="2"/>
  <c r="E16" i="2"/>
  <c r="E15" i="2"/>
  <c r="E12" i="2"/>
  <c r="E11" i="2"/>
  <c r="E10" i="2"/>
  <c r="E9" i="2"/>
  <c r="E8" i="2"/>
  <c r="E30" i="1"/>
  <c r="E28" i="1"/>
  <c r="E25" i="1"/>
  <c r="E32" i="1" s="1"/>
  <c r="E23" i="1"/>
  <c r="E21" i="1"/>
  <c r="E19" i="1"/>
  <c r="E15" i="1"/>
  <c r="E11" i="1"/>
  <c r="E9" i="1"/>
  <c r="E13" i="1" s="1"/>
  <c r="D45" i="4"/>
  <c r="D33" i="4"/>
  <c r="D27" i="4"/>
  <c r="D47" i="4" s="1"/>
  <c r="D49" i="4" s="1"/>
  <c r="E50" i="3"/>
  <c r="E49" i="3"/>
  <c r="E47" i="3"/>
  <c r="E40" i="3"/>
  <c r="E33" i="3"/>
  <c r="E23" i="3"/>
  <c r="E15" i="3"/>
  <c r="I38" i="1"/>
  <c r="M27" i="2"/>
  <c r="E27" i="2" s="1"/>
  <c r="I43" i="1"/>
  <c r="I13" i="1"/>
  <c r="I17" i="1" s="1"/>
  <c r="I23" i="1" s="1"/>
  <c r="I27" i="1" s="1"/>
  <c r="I30" i="1" s="1"/>
  <c r="E17" i="1" l="1"/>
  <c r="I32" i="1"/>
  <c r="E27" i="1"/>
  <c r="M28" i="2"/>
  <c r="M19" i="2"/>
  <c r="K19" i="2"/>
  <c r="K28" i="2" s="1"/>
  <c r="C19" i="2"/>
  <c r="M12" i="2"/>
  <c r="K12" i="2"/>
  <c r="C12" i="2"/>
  <c r="C35" i="2" l="1"/>
  <c r="C37" i="2"/>
  <c r="K37" i="2"/>
  <c r="K35" i="2"/>
  <c r="C28" i="2"/>
  <c r="M37" i="2"/>
  <c r="E28" i="2"/>
  <c r="E37" i="2" s="1"/>
  <c r="F13" i="6"/>
</calcChain>
</file>

<file path=xl/sharedStrings.xml><?xml version="1.0" encoding="utf-8"?>
<sst xmlns="http://schemas.openxmlformats.org/spreadsheetml/2006/main" count="503" uniqueCount="251">
  <si>
    <t>Lockheed Martin Corporation</t>
  </si>
  <si>
    <t>(unaudited; in millions, except per share data)</t>
  </si>
  <si>
    <t>Net sales</t>
  </si>
  <si>
    <t>Gross profit</t>
  </si>
  <si>
    <t>Interest expense</t>
  </si>
  <si>
    <t xml:space="preserve">   Effective tax rate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</si>
  <si>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</si>
  <si>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</si>
  <si>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</si>
  <si>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</si>
  <si>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</si>
  <si>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</si>
  <si>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</si>
  <si>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</si>
  <si>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</si>
  <si>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</si>
  <si>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</si>
  <si>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</si>
  <si>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Space Systems</t>
  </si>
  <si>
    <t xml:space="preserve">     Total net sales</t>
  </si>
  <si>
    <t xml:space="preserve">Operating profit </t>
  </si>
  <si>
    <t xml:space="preserve">     Total business segment operating profit</t>
  </si>
  <si>
    <t xml:space="preserve">  FAS/CAS pension adjustment</t>
  </si>
  <si>
    <t xml:space="preserve">  Stock-based compensation</t>
  </si>
  <si>
    <t xml:space="preserve">  Other, net</t>
  </si>
  <si>
    <t xml:space="preserve">     Total consolidated operating profit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</si>
  <si>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</si>
  <si>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</si>
  <si>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</si>
  <si>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</si>
  <si>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</si>
  <si>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</si>
  <si>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Inventories,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</si>
  <si>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</si>
  <si>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</si>
  <si>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</si>
  <si>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</si>
  <si>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</si>
  <si>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</si>
  <si>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</si>
  <si>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</si>
  <si>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</si>
  <si>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</si>
  <si>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</si>
  <si>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</si>
  <si>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</si>
  <si>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</si>
  <si>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</si>
  <si>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</si>
  <si>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</si>
  <si>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</si>
  <si>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</si>
  <si>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</si>
  <si>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</si>
  <si>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 xml:space="preserve">      Total stockholders' equity</t>
  </si>
  <si>
    <t>Consolidated Statements of Cash Flows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</si>
  <si>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</si>
  <si>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</si>
  <si>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</si>
  <si>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</si>
  <si>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</si>
  <si>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</si>
  <si>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Inventories, net</t>
  </si>
  <si>
    <t xml:space="preserve">      Accounts payable</t>
  </si>
  <si>
    <t xml:space="preserve">      Customer advances and amounts in excess of costs incurred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</si>
  <si>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</si>
  <si>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</si>
  <si>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</si>
  <si>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</si>
  <si>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</si>
  <si>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</si>
  <si>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</si>
  <si>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Proceeds from stock option exercises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</si>
  <si>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</si>
  <si>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</si>
  <si>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</si>
  <si>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</si>
  <si>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</si>
  <si>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</si>
  <si>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</si>
  <si>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</si>
  <si>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</si>
  <si>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</si>
  <si>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</si>
  <si>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</si>
  <si>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</si>
  <si>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</si>
  <si>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</si>
  <si>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</si>
  <si>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Loss</t>
  </si>
  <si>
    <t>Equity</t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</si>
  <si>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</si>
  <si>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 xml:space="preserve">Repurchases of common stock </t>
  </si>
  <si>
    <r>
      <t>Dividends declared</t>
    </r>
    <r>
      <rPr>
        <vertAlign val="superscript"/>
        <sz val="16"/>
        <rFont val="Arial"/>
        <family val="2"/>
      </rPr>
      <t>2</t>
    </r>
  </si>
  <si>
    <t>Operating Data</t>
  </si>
  <si>
    <t>(unaudited; in millions, except aircraft deliveries)</t>
  </si>
  <si>
    <t>Backlog</t>
  </si>
  <si>
    <t>Aeronautics</t>
  </si>
  <si>
    <t>Missiles and Fire Control</t>
  </si>
  <si>
    <t>Space Systems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</si>
  <si>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</si>
  <si>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</si>
  <si>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</si>
  <si>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</si>
  <si>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</si>
  <si>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</si>
  <si>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 xml:space="preserve">  Severance charges</t>
  </si>
  <si>
    <t>Property, plant and equipment, net</t>
  </si>
  <si>
    <t xml:space="preserve">  Salaries, benefits and payroll taxes</t>
  </si>
  <si>
    <t>Total unallocated items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</si>
  <si>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the recognition of prior period amounts related to postretirement benefit plans.</t>
    </r>
  </si>
  <si>
    <t>Balance at Dec. 31, 2015</t>
  </si>
  <si>
    <t xml:space="preserve">      Net cash used for investing activities</t>
  </si>
  <si>
    <t xml:space="preserve">Quarters Ended </t>
  </si>
  <si>
    <t>Quarters Ended</t>
  </si>
  <si>
    <r>
      <rPr>
        <vertAlign val="superscript"/>
        <sz val="16"/>
        <rFont val="Arial"/>
        <family val="2"/>
      </rPr>
      <t xml:space="preserve">1  </t>
    </r>
    <r>
      <rPr>
        <sz val="16"/>
        <rFont val="Arial"/>
        <family val="2"/>
      </rPr>
      <t>Certain prior period amounts have been reclassified to conform with current period presentation.</t>
    </r>
  </si>
  <si>
    <t>Dec. 31,
2015</t>
  </si>
  <si>
    <t>Intangible assets, net</t>
  </si>
  <si>
    <t xml:space="preserve">  Current maturities of long-term debt</t>
  </si>
  <si>
    <t>Repayments of long-term debt</t>
  </si>
  <si>
    <t xml:space="preserve">    Continuing operations</t>
  </si>
  <si>
    <t xml:space="preserve">   Basic earnings per common share</t>
  </si>
  <si>
    <t xml:space="preserve">   Diluted earnings per common share</t>
  </si>
  <si>
    <t xml:space="preserve">  Rotary and Mission Systems</t>
  </si>
  <si>
    <t xml:space="preserve">  Special item - severance charges</t>
  </si>
  <si>
    <t xml:space="preserve">  Gain on step acquisition of AWE</t>
  </si>
  <si>
    <t>Rotary and Mission Systems</t>
  </si>
  <si>
    <t>Earnings per common share</t>
  </si>
  <si>
    <t>Earnings from continuing operations before income taxes</t>
  </si>
  <si>
    <t>Noncontrolling interests in subsidiary</t>
  </si>
  <si>
    <t xml:space="preserve">      Total equity</t>
  </si>
  <si>
    <t>controlling</t>
  </si>
  <si>
    <t>Interest</t>
  </si>
  <si>
    <t xml:space="preserve">    Discontinued operations</t>
  </si>
  <si>
    <t xml:space="preserve">     Total business segment operating margin</t>
  </si>
  <si>
    <t>Operating margin</t>
  </si>
  <si>
    <t xml:space="preserve">     Total consolidated operating margin</t>
  </si>
  <si>
    <r>
      <t xml:space="preserve">  Space Systems</t>
    </r>
    <r>
      <rPr>
        <vertAlign val="superscript"/>
        <sz val="16"/>
        <rFont val="Arial"/>
        <family val="2"/>
      </rPr>
      <t>1</t>
    </r>
  </si>
  <si>
    <r>
      <t>Unallocated items</t>
    </r>
    <r>
      <rPr>
        <b/>
        <vertAlign val="superscript"/>
        <sz val="16"/>
        <rFont val="Arial"/>
        <family val="2"/>
      </rPr>
      <t>2</t>
    </r>
  </si>
  <si>
    <r>
      <t xml:space="preserve">      Net cash provided by operating activities</t>
    </r>
    <r>
      <rPr>
        <b/>
        <vertAlign val="superscript"/>
        <sz val="16"/>
        <rFont val="Arial"/>
        <family val="2"/>
      </rPr>
      <t>1</t>
    </r>
  </si>
  <si>
    <r>
      <rPr>
        <vertAlign val="superscript"/>
        <sz val="16"/>
        <rFont val="Arial"/>
        <family val="2"/>
      </rPr>
      <t xml:space="preserve">2  </t>
    </r>
    <r>
      <rPr>
        <sz val="16"/>
        <rFont val="Arial"/>
        <family val="2"/>
      </rPr>
      <t>The assets and liabilities of the IS&amp;GS business segment have been classified as assets and</t>
    </r>
  </si>
  <si>
    <t>Liabilities and equity</t>
  </si>
  <si>
    <t xml:space="preserve">      Total liabilities and equity</t>
  </si>
  <si>
    <r>
      <t>Assets of discontinued operations</t>
    </r>
    <r>
      <rPr>
        <vertAlign val="superscript"/>
        <sz val="14"/>
        <rFont val="Arial"/>
        <family val="2"/>
      </rPr>
      <t>2</t>
    </r>
  </si>
  <si>
    <r>
      <t xml:space="preserve">  Assets of discontinued operations</t>
    </r>
    <r>
      <rPr>
        <vertAlign val="superscript"/>
        <sz val="14"/>
        <rFont val="Arial"/>
        <family val="2"/>
      </rPr>
      <t>2</t>
    </r>
  </si>
  <si>
    <r>
      <t xml:space="preserve">  Liabilities of discontinued operations</t>
    </r>
    <r>
      <rPr>
        <vertAlign val="superscript"/>
        <sz val="14"/>
        <rFont val="Arial"/>
        <family val="2"/>
      </rPr>
      <t>2</t>
    </r>
  </si>
  <si>
    <r>
      <t>Liabilities of discontinued operations</t>
    </r>
    <r>
      <rPr>
        <vertAlign val="superscript"/>
        <sz val="14"/>
        <rFont val="Arial"/>
        <family val="2"/>
      </rPr>
      <t>2</t>
    </r>
  </si>
  <si>
    <t xml:space="preserve">   segment related to the consolidation of the AWE venture upon obtaining control of this venture on Aug. 24, 2016, which increased net earnings from continuing</t>
  </si>
  <si>
    <t xml:space="preserve">   i) the non-service portion of pension costs for IS&amp;GS employees that participated in the Corporation's defined benefit pension and other</t>
  </si>
  <si>
    <t xml:space="preserve">   post-employment benefit plans were reclassified from the operating results of the IS&amp;GS business segment to "FAS/CAS pension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</si>
  <si>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 xml:space="preserve">The following reclassifications of "Unallocated items" were made as a result of the divestiture of the IS&amp;GS business segment: </t>
    </r>
  </si>
  <si>
    <t>Stock-based awards, ESOP activity and other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</si>
  <si>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 xml:space="preserve">Cash from operations includes cash flows generated by the IS&amp;GS business segment through the closing of the divestiture of </t>
    </r>
  </si>
  <si>
    <t xml:space="preserve">   this business segment on Aug. 16, 2016, as the Corporation retained this cash as part of the divestiture.</t>
  </si>
  <si>
    <r>
      <t>Dec. 31,
2015</t>
    </r>
    <r>
      <rPr>
        <b/>
        <sz val="16"/>
        <rFont val="Calibri"/>
        <family val="2"/>
      </rPr>
      <t>¹</t>
    </r>
  </si>
  <si>
    <t>Consolidated Statement of Equity</t>
  </si>
  <si>
    <t xml:space="preserve">   liabilities of discontinued operations as of Dec. 31, 2015.</t>
  </si>
  <si>
    <t>Cost of sales</t>
  </si>
  <si>
    <t>Net earnings from discontinued operations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</si>
  <si>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Represents dividends of $1.65 per share declared in each of the first, second and third quarters of 2016.  Additionally, includes dividends of $1.82 per share</t>
    </r>
  </si>
  <si>
    <t>Quarters Ended Dec. 31,</t>
  </si>
  <si>
    <t>Years Ended Dec. 31,</t>
  </si>
  <si>
    <t xml:space="preserve">
2016</t>
  </si>
  <si>
    <t xml:space="preserve">
2015</t>
  </si>
  <si>
    <t>Balance at Dec. 31, 2016</t>
  </si>
  <si>
    <t>Dec. 31,
2016</t>
  </si>
  <si>
    <t>Years Ended</t>
  </si>
  <si>
    <t xml:space="preserve">   declared in the third quarter of 2016 and paid in the fourth quarter of 2016.</t>
  </si>
  <si>
    <r>
      <t>Acquisitions of businesses and investments in affiliates</t>
    </r>
    <r>
      <rPr>
        <vertAlign val="superscript"/>
        <sz val="16"/>
        <rFont val="Arial"/>
        <family val="2"/>
      </rPr>
      <t>2</t>
    </r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</si>
  <si>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amounts for the year ended Dec. 31, 2016 include a non-cash gain of $127 million related to the consolidation of AWE upon</t>
    </r>
  </si>
  <si>
    <r>
      <rPr>
        <sz val="20"/>
        <rFont val="Arial"/>
        <family val="2"/>
      </rPr>
      <t>²</t>
    </r>
    <r>
      <rPr>
        <vertAlign val="superscript"/>
        <sz val="20"/>
        <rFont val="Arial"/>
        <family val="2"/>
      </rPr>
      <t xml:space="preserve"> </t>
    </r>
    <r>
      <rPr>
        <vertAlign val="superscript"/>
        <sz val="15"/>
        <rFont val="Arial"/>
        <family val="2"/>
      </rPr>
      <t xml:space="preserve"> </t>
    </r>
    <r>
      <rPr>
        <sz val="15"/>
        <rFont val="Arial"/>
        <family val="2"/>
      </rPr>
      <t xml:space="preserve">The amounts in the year ended Dec. 31, 2016 include a non-cash gain of $127 million recognized at the Corporation's Space Systems business </t>
    </r>
  </si>
  <si>
    <r>
      <rPr>
        <sz val="20"/>
        <rFont val="Arial"/>
        <family val="2"/>
      </rPr>
      <t>¹</t>
    </r>
    <r>
      <rPr>
        <vertAlign val="superscript"/>
        <sz val="20"/>
        <rFont val="Arial"/>
        <family val="2"/>
      </rPr>
      <t xml:space="preserve"> </t>
    </r>
    <r>
      <rPr>
        <vertAlign val="superscript"/>
        <sz val="15"/>
        <rFont val="Arial"/>
        <family val="2"/>
      </rPr>
      <t xml:space="preserve"> </t>
    </r>
    <r>
      <rPr>
        <sz val="15"/>
        <rFont val="Arial"/>
        <family val="2"/>
      </rPr>
      <t xml:space="preserve">As a result of the divestiture of the IS&amp;GS business segment on Aug. 16, 2016, the operating results of the IS&amp;GS business segment have been classified as </t>
    </r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</si>
  <si>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</si>
  <si>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r>
      <t>Operating profit</t>
    </r>
    <r>
      <rPr>
        <b/>
        <sz val="20"/>
        <rFont val="Arial"/>
        <family val="2"/>
      </rPr>
      <t>²</t>
    </r>
  </si>
  <si>
    <r>
      <t>Net earnings</t>
    </r>
    <r>
      <rPr>
        <b/>
        <sz val="20"/>
        <rFont val="Arial"/>
        <family val="2"/>
      </rPr>
      <t>³</t>
    </r>
  </si>
  <si>
    <t xml:space="preserve">Other non-operating (expense) income, net </t>
  </si>
  <si>
    <r>
      <t>Income tax expense</t>
    </r>
    <r>
      <rPr>
        <sz val="20"/>
        <rFont val="Arial"/>
        <family val="2"/>
      </rPr>
      <t>³</t>
    </r>
  </si>
  <si>
    <r>
      <t>Net earnings from continuing operations</t>
    </r>
    <r>
      <rPr>
        <sz val="20"/>
        <rFont val="Arial"/>
        <family val="2"/>
      </rPr>
      <t>³</t>
    </r>
  </si>
  <si>
    <r>
      <t xml:space="preserve">    Continuing operations</t>
    </r>
    <r>
      <rPr>
        <sz val="20"/>
        <rFont val="Arial"/>
        <family val="2"/>
      </rPr>
      <t>³</t>
    </r>
  </si>
  <si>
    <t xml:space="preserve">   operations $104 million (or $0.34 per share).</t>
  </si>
  <si>
    <t xml:space="preserve">   obtaining control of this venture on Aug. 24, 2016, which increased net earnings from continuing operations $104 million (or $0.34 per share).</t>
  </si>
  <si>
    <t>Other income (expense), net</t>
  </si>
  <si>
    <t xml:space="preserve">   discontinued operations in the year ended Dec. 31, 2016 and in the quarter and year ended Dec. 31, 2015. A $1.2 billion gain was recorded as a result of the </t>
  </si>
  <si>
    <t xml:space="preserve">   divestiture of the IS&amp;GS business segment and is recorded in earnings from discontinued operations in the year ended Dec. 31, 2016.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</si>
  <si>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>Includes the $9.0 billion purchase price of Sikorsky, net of cash acquired.</t>
    </r>
  </si>
  <si>
    <t xml:space="preserve">   </t>
  </si>
  <si>
    <t xml:space="preserve">   adjustment" and were $54 million in the year ended Dec. 31, 2016 and $18 million and $71 million in the quarter and year ended Dec. 31, 2015, </t>
  </si>
  <si>
    <t xml:space="preserve">   ii) Corporate overhead costs allocated to and included in the operating results of the IS&amp;GS business segment were reclassified to "Other, net" and </t>
  </si>
  <si>
    <t xml:space="preserve">   charges related to the IS&amp;GS business segment that were historically recorded in "Special item - severance charges" were reclassified to net earnings  </t>
  </si>
  <si>
    <t xml:space="preserve">   from discontinued operations and were $19 million in the year ended Dec. 31, 2016 and $20 million in the year ended Dec. 31, 2015. For more </t>
  </si>
  <si>
    <t xml:space="preserve">    information see the "Unallocated items" section of the accompanying news release.</t>
  </si>
  <si>
    <t xml:space="preserve">Press Release Attachments </t>
  </si>
  <si>
    <t>Consolidated Statements of Earnings Adjusted for Discontinued Operations</t>
  </si>
  <si>
    <t>Quarter Ended March 29, 2015</t>
  </si>
  <si>
    <t>Quarter Ended June 28, 2015</t>
  </si>
  <si>
    <t>Quarter Ended Sept. 27, 2015</t>
  </si>
  <si>
    <t>Quarter Ended Dec. 31, 2015</t>
  </si>
  <si>
    <t>Lockheed
Martin
Historical</t>
  </si>
  <si>
    <t>Adjustments for Discontinued Operations</t>
  </si>
  <si>
    <t>Lockheed
Martin
Adjusted</t>
  </si>
  <si>
    <t>Information Systems &amp; Global Solutions</t>
  </si>
  <si>
    <t>Business Segment Operating Profit</t>
  </si>
  <si>
    <t>Total Unallocated Items</t>
  </si>
  <si>
    <t>Total Consolidated Operating Profit</t>
  </si>
  <si>
    <t>Other non-operating income, net</t>
  </si>
  <si>
    <t>Income tax expense</t>
  </si>
  <si>
    <t>Net earnings from continuing operations</t>
  </si>
  <si>
    <t>Effective tax rate</t>
  </si>
  <si>
    <t>Basic</t>
  </si>
  <si>
    <t>Continuing operations</t>
  </si>
  <si>
    <t>Discontinued operations</t>
  </si>
  <si>
    <t>Basic earnings per common share</t>
  </si>
  <si>
    <t>Diluted</t>
  </si>
  <si>
    <t>Diluted earnings per common share</t>
  </si>
  <si>
    <t>Three Months Ended March 29, 2015</t>
  </si>
  <si>
    <t>Six Months Ended June 28, 2015</t>
  </si>
  <si>
    <t>Nine Months Ended Sept. 27, 2015</t>
  </si>
  <si>
    <t>Twelve Months Ended Dec. 31, 2015</t>
  </si>
  <si>
    <t>Quarter Ended March 27, 2016</t>
  </si>
  <si>
    <t>Quarter Ended June 26, 2016</t>
  </si>
  <si>
    <t>Three Months Ended March 27, 2016</t>
  </si>
  <si>
    <t>Six Months Ended June 26, 2016</t>
  </si>
  <si>
    <t xml:space="preserve">  Deferred income taxes</t>
  </si>
  <si>
    <t>Proceeds from the issuance of long-term debt</t>
  </si>
  <si>
    <t>Proceeds from borrowings under revolving credit facilities</t>
  </si>
  <si>
    <t>Repayments of borrowings under revolving credit facilities</t>
  </si>
  <si>
    <r>
      <rPr>
        <sz val="20"/>
        <rFont val="Arial"/>
        <family val="2"/>
      </rPr>
      <t>³</t>
    </r>
    <r>
      <rPr>
        <vertAlign val="superscript"/>
        <sz val="15"/>
        <rFont val="Arial"/>
        <family val="2"/>
      </rPr>
      <t xml:space="preserve">  </t>
    </r>
    <r>
      <rPr>
        <sz val="15"/>
        <rFont val="Arial"/>
        <family val="2"/>
      </rPr>
      <t xml:space="preserve">In 2016, the Corporation adopted a new accounting standard issued by the Financial Accounting Standards Board that changed certain aspects of the accounting </t>
    </r>
  </si>
  <si>
    <t xml:space="preserve">   for equity awards granted to employees. As a result, the Corporation recognized additional income tax benefits as an increase to net earnings from continuing </t>
  </si>
  <si>
    <t xml:space="preserve">   The new accounting standard did not impact any periods prior to Jan. 1, 2016.</t>
  </si>
  <si>
    <t xml:space="preserve">   operations and operating cash flows of $15 million ($0.05 per share) and $152 million ($0.50 per share) in the quarter and year ended Dec. 31, 2016. </t>
  </si>
  <si>
    <t>Net gain on divestiture of discontinued operations</t>
  </si>
  <si>
    <t xml:space="preserve">      Net cash (used for) provided by financing activities</t>
  </si>
  <si>
    <t>Nine Months Ended Sept. 25, 2016</t>
  </si>
  <si>
    <t>Twelve Months Ended Dec. 31, 2016</t>
  </si>
  <si>
    <t>Quarter Ended Dec. 31, 2016</t>
  </si>
  <si>
    <t>Quarter Ended Sept. 25, 2016</t>
  </si>
  <si>
    <t xml:space="preserve">  FAS pension expense</t>
  </si>
  <si>
    <t>Less: CAS pension cost</t>
  </si>
  <si>
    <t xml:space="preserve">  Gain on divestiture of IS&amp;GS business </t>
  </si>
  <si>
    <t xml:space="preserve">Special cash payment from divestiture of IS&amp;GS business </t>
  </si>
  <si>
    <r>
      <t>Other comprehensive loss, net of tax</t>
    </r>
    <r>
      <rPr>
        <vertAlign val="superscript"/>
        <sz val="16"/>
        <rFont val="Arial"/>
        <family val="2"/>
      </rPr>
      <t>1</t>
    </r>
  </si>
  <si>
    <t xml:space="preserve">Shares exchanged and retired in connection with divestiture of IS&amp;GS business </t>
  </si>
  <si>
    <t>Increase in noncontrolling interests in subsidiary</t>
  </si>
  <si>
    <t>Non</t>
  </si>
  <si>
    <t xml:space="preserve">   were $82 million in the year ended Dec. 31, 2016 and $32 million and $165 million in the quarter and year ended Dec. 31, 2015, and iii) significant severance </t>
  </si>
  <si>
    <t xml:space="preserve"> for equity awards.</t>
  </si>
  <si>
    <t>Income tax expense ¹</t>
  </si>
  <si>
    <t>Net earnings from continuing operations ¹</t>
  </si>
  <si>
    <t>Net earnings ¹</t>
  </si>
  <si>
    <t xml:space="preserve">Net earnings from discontinued operations </t>
  </si>
  <si>
    <t>¹ Income tax expense and net earnings for the quarter and year ended March 27, 2016 reflect the adoption during the second quarter of 2016 of a new accounting standard issued by the Financial Accounting Standards Board that changed certain aspects of the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</si>
</sst>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  <numFmt numFmtId="177" formatCode="0.0"/>
    <numFmt numFmtId="178" formatCode="\ #,##0.0%;\(#,##0.0%\)"/>
    <numFmt numFmtId="179" formatCode="#,##0.00000_);\(#,##0.00000\)"/>
  </numFmts>
  <fonts count="27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b/>
      <u/>
      <sz val="16"/>
      <name val="Arial"/>
      <family val="2"/>
    </font>
    <font>
      <sz val="11"/>
      <name val="Times New Roman"/>
      <family val="1"/>
    </font>
    <font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vertAlign val="superscript"/>
      <sz val="15"/>
      <name val="Arial"/>
      <family val="2"/>
    </font>
    <font>
      <b/>
      <sz val="16"/>
      <name val="Calibri"/>
      <family val="2"/>
    </font>
    <font>
      <b/>
      <vertAlign val="superscript"/>
      <sz val="16"/>
      <name val="Arial"/>
      <family val="2"/>
    </font>
    <font>
      <sz val="11"/>
      <color rgb="FF1F497D"/>
      <name val="Calibri"/>
      <family val="2"/>
    </font>
    <font>
      <vertAlign val="superscript"/>
      <sz val="14"/>
      <name val="Arial"/>
      <family val="2"/>
    </font>
    <font>
      <sz val="20"/>
      <name val="Arial"/>
      <family val="2"/>
    </font>
    <font>
      <vertAlign val="superscript"/>
      <sz val="20"/>
      <name val="Arial"/>
      <family val="2"/>
    </font>
    <font>
      <b/>
      <sz val="2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0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/>
    <xf numFmtId="164" fontId="5" fillId="0" borderId="0"/>
    <xf numFmtId="0" fontId="2" fillId="0" borderId="0"/>
    <xf numFmtId="164" fontId="5" fillId="0" borderId="0"/>
    <xf numFmtId="164" fontId="5" fillId="0" borderId="0"/>
    <xf numFmtId="164" fontId="2" fillId="0" borderId="0"/>
    <xf numFmtId="0" fontId="9" fillId="0" borderId="0"/>
    <xf numFmtId="164" fontId="5" fillId="0" borderId="0"/>
    <xf numFmtId="0" fontId="11" fillId="0" borderId="0"/>
    <xf numFmtId="164" fontId="2" fillId="0" borderId="0"/>
    <xf numFmtId="164" fontId="5" fillId="0" borderId="0"/>
    <xf numFmtId="164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5" fillId="0" borderId="0" applyFill="0" applyBorder="0" applyAlignment="0" applyProtection="0"/>
    <xf numFmtId="176" fontId="5" fillId="0" borderId="0" applyFill="0" applyBorder="0" applyAlignment="0" applyProtection="0"/>
    <xf numFmtId="2" fontId="5" fillId="0" borderId="0" applyFill="0" applyBorder="0" applyAlignment="0" applyProtection="0"/>
    <xf numFmtId="164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410">
    <xf numFmtId="164" fontId="0" fillId="0" borderId="0" xfId="0"/>
    <xf numFmtId="165" fontId="3" fillId="2" borderId="0" xfId="0" applyNumberFormat="1" applyFont="1" applyFill="1" applyAlignment="1" applyProtection="1">
      <alignment horizontal="left"/>
    </xf>
    <xf numFmtId="164" fontId="4" fillId="2" borderId="0" xfId="4" applyFont="1" applyFill="1"/>
    <xf numFmtId="165" fontId="4" fillId="2" borderId="0" xfId="0" applyNumberFormat="1" applyFont="1" applyFill="1" applyProtection="1"/>
    <xf numFmtId="164" fontId="4" fillId="2" borderId="0" xfId="5" applyFont="1" applyFill="1"/>
    <xf numFmtId="164" fontId="4" fillId="2" borderId="0" xfId="5" applyFont="1" applyFill="1" applyBorder="1"/>
    <xf numFmtId="164" fontId="4" fillId="2" borderId="0" xfId="0" applyFont="1" applyFill="1"/>
    <xf numFmtId="165" fontId="3" fillId="2" borderId="0" xfId="0" applyNumberFormat="1" applyFont="1" applyFill="1" applyProtection="1"/>
    <xf numFmtId="0" fontId="3" fillId="2" borderId="0" xfId="6" applyFont="1" applyFill="1" applyBorder="1" applyAlignment="1" applyProtection="1">
      <alignment horizontal="center" vertical="top"/>
      <protection locked="0"/>
    </xf>
    <xf numFmtId="164" fontId="3" fillId="2" borderId="0" xfId="4" applyFont="1" applyFill="1"/>
    <xf numFmtId="49" fontId="6" fillId="2" borderId="0" xfId="4" applyNumberFormat="1" applyFont="1" applyFill="1" applyAlignment="1" applyProtection="1">
      <alignment horizontal="center"/>
    </xf>
    <xf numFmtId="164" fontId="3" fillId="2" borderId="0" xfId="5" applyFont="1" applyFill="1"/>
    <xf numFmtId="9" fontId="4" fillId="2" borderId="0" xfId="3" applyFont="1" applyFill="1" applyProtection="1"/>
    <xf numFmtId="166" fontId="3" fillId="2" borderId="0" xfId="2" applyNumberFormat="1" applyFont="1" applyFill="1" applyProtection="1"/>
    <xf numFmtId="37" fontId="4" fillId="2" borderId="0" xfId="0" applyNumberFormat="1" applyFont="1" applyFill="1" applyProtection="1"/>
    <xf numFmtId="165" fontId="4" fillId="2" borderId="0" xfId="0" applyNumberFormat="1" applyFont="1" applyFill="1" applyAlignment="1" applyProtection="1">
      <alignment horizontal="left"/>
    </xf>
    <xf numFmtId="5" fontId="3" fillId="2" borderId="0" xfId="0" applyNumberFormat="1" applyFont="1" applyFill="1" applyProtection="1"/>
    <xf numFmtId="5" fontId="4" fillId="2" borderId="0" xfId="0" applyNumberFormat="1" applyFont="1" applyFill="1" applyProtection="1"/>
    <xf numFmtId="167" fontId="3" fillId="2" borderId="2" xfId="1" applyNumberFormat="1" applyFont="1" applyFill="1" applyBorder="1" applyProtection="1"/>
    <xf numFmtId="167" fontId="3" fillId="2" borderId="0" xfId="1" applyNumberFormat="1" applyFont="1" applyFill="1" applyProtection="1"/>
    <xf numFmtId="167" fontId="4" fillId="2" borderId="0" xfId="0" applyNumberFormat="1" applyFont="1" applyFill="1" applyProtection="1"/>
    <xf numFmtId="167" fontId="3" fillId="2" borderId="0" xfId="0" applyNumberFormat="1" applyFont="1" applyFill="1" applyProtection="1"/>
    <xf numFmtId="165" fontId="4" fillId="0" borderId="0" xfId="0" applyNumberFormat="1" applyFont="1" applyFill="1" applyProtection="1"/>
    <xf numFmtId="167" fontId="3" fillId="2" borderId="0" xfId="1" applyNumberFormat="1" applyFont="1" applyFill="1" applyBorder="1" applyProtection="1"/>
    <xf numFmtId="166" fontId="3" fillId="2" borderId="3" xfId="2" applyNumberFormat="1" applyFont="1" applyFill="1" applyBorder="1" applyProtection="1"/>
    <xf numFmtId="168" fontId="3" fillId="2" borderId="3" xfId="1" applyNumberFormat="1" applyFont="1" applyFill="1" applyBorder="1" applyProtection="1"/>
    <xf numFmtId="169" fontId="3" fillId="2" borderId="0" xfId="0" applyNumberFormat="1" applyFont="1" applyFill="1" applyProtection="1"/>
    <xf numFmtId="7" fontId="3" fillId="2" borderId="0" xfId="0" applyNumberFormat="1" applyFont="1" applyFill="1" applyProtection="1"/>
    <xf numFmtId="7" fontId="4" fillId="2" borderId="0" xfId="0" applyNumberFormat="1" applyFont="1" applyFill="1" applyProtection="1"/>
    <xf numFmtId="165" fontId="3" fillId="2" borderId="0" xfId="0" quotePrefix="1" applyNumberFormat="1" applyFont="1" applyFill="1" applyAlignment="1" applyProtection="1">
      <alignment horizontal="left"/>
    </xf>
    <xf numFmtId="165" fontId="4" fillId="2" borderId="0" xfId="0" applyNumberFormat="1" applyFont="1" applyFill="1" applyBorder="1" applyAlignment="1" applyProtection="1">
      <alignment horizontal="left"/>
    </xf>
    <xf numFmtId="9" fontId="4" fillId="2" borderId="0" xfId="3" applyFont="1" applyFill="1" applyBorder="1" applyProtection="1"/>
    <xf numFmtId="7" fontId="4" fillId="2" borderId="0" xfId="0" applyNumberFormat="1" applyFont="1" applyFill="1" applyBorder="1" applyProtection="1"/>
    <xf numFmtId="170" fontId="3" fillId="2" borderId="0" xfId="0" applyNumberFormat="1" applyFont="1" applyFill="1" applyProtection="1"/>
    <xf numFmtId="170" fontId="4" fillId="2" borderId="0" xfId="0" applyNumberFormat="1" applyFont="1" applyFill="1" applyProtection="1"/>
    <xf numFmtId="9" fontId="4" fillId="2" borderId="0" xfId="0" applyNumberFormat="1" applyFont="1" applyFill="1" applyProtection="1"/>
    <xf numFmtId="171" fontId="3" fillId="2" borderId="0" xfId="0" applyNumberFormat="1" applyFont="1" applyFill="1" applyProtection="1"/>
    <xf numFmtId="37" fontId="4" fillId="2" borderId="0" xfId="0" applyNumberFormat="1" applyFont="1" applyFill="1"/>
    <xf numFmtId="164" fontId="4" fillId="2" borderId="0" xfId="7" applyFont="1" applyFill="1"/>
    <xf numFmtId="165" fontId="7" fillId="2" borderId="0" xfId="0" applyNumberFormat="1" applyFont="1" applyFill="1" applyAlignment="1" applyProtection="1">
      <alignment horizontal="left"/>
    </xf>
    <xf numFmtId="164" fontId="8" fillId="2" borderId="0" xfId="5" applyFont="1" applyFill="1"/>
    <xf numFmtId="164" fontId="7" fillId="2" borderId="0" xfId="8" applyFont="1" applyFill="1"/>
    <xf numFmtId="164" fontId="8" fillId="2" borderId="0" xfId="8" applyFont="1" applyFill="1" applyAlignment="1">
      <alignment horizontal="left"/>
    </xf>
    <xf numFmtId="164" fontId="8" fillId="2" borderId="0" xfId="8" applyFont="1" applyFill="1"/>
    <xf numFmtId="165" fontId="8" fillId="2" borderId="0" xfId="0" applyNumberFormat="1" applyFont="1" applyFill="1" applyProtection="1"/>
    <xf numFmtId="165" fontId="8" fillId="2" borderId="0" xfId="0" applyNumberFormat="1" applyFont="1" applyFill="1" applyAlignment="1" applyProtection="1">
      <alignment horizontal="right"/>
    </xf>
    <xf numFmtId="165" fontId="8" fillId="2" borderId="0" xfId="0" applyNumberFormat="1" applyFont="1" applyFill="1" applyAlignment="1" applyProtection="1">
      <alignment horizontal="left"/>
    </xf>
    <xf numFmtId="164" fontId="8" fillId="2" borderId="0" xfId="0" applyFont="1" applyFill="1"/>
    <xf numFmtId="164" fontId="8" fillId="2" borderId="0" xfId="0" applyFont="1" applyFill="1" applyAlignment="1">
      <alignment horizontal="right"/>
    </xf>
    <xf numFmtId="164" fontId="8" fillId="2" borderId="0" xfId="0" applyFont="1" applyFill="1" applyAlignment="1">
      <alignment horizontal="left"/>
    </xf>
    <xf numFmtId="164" fontId="7" fillId="2" borderId="0" xfId="0" applyFont="1" applyFill="1" applyAlignment="1"/>
    <xf numFmtId="0" fontId="7" fillId="2" borderId="0" xfId="6" applyFont="1" applyFill="1" applyBorder="1" applyAlignment="1" applyProtection="1">
      <alignment vertical="top"/>
      <protection locked="0"/>
    </xf>
    <xf numFmtId="0" fontId="7" fillId="2" borderId="0" xfId="6" applyFont="1" applyFill="1" applyBorder="1" applyAlignment="1" applyProtection="1">
      <alignment horizontal="right" vertical="top"/>
      <protection locked="0"/>
    </xf>
    <xf numFmtId="164" fontId="7" fillId="2" borderId="0" xfId="0" applyFont="1" applyFill="1" applyBorder="1" applyAlignment="1">
      <alignment horizontal="left"/>
    </xf>
    <xf numFmtId="49" fontId="8" fillId="3" borderId="0" xfId="9" quotePrefix="1" applyNumberFormat="1" applyFont="1" applyFill="1" applyAlignment="1" applyProtection="1">
      <alignment horizontal="center"/>
    </xf>
    <xf numFmtId="49" fontId="7" fillId="2" borderId="0" xfId="0" quotePrefix="1" applyNumberFormat="1" applyFont="1" applyFill="1" applyAlignment="1" applyProtection="1">
      <alignment horizontal="center"/>
    </xf>
    <xf numFmtId="164" fontId="7" fillId="2" borderId="0" xfId="0" applyFont="1" applyFill="1" applyAlignment="1">
      <alignment horizontal="left"/>
    </xf>
    <xf numFmtId="164" fontId="7" fillId="2" borderId="0" xfId="0" applyFont="1" applyFill="1" applyProtection="1">
      <protection locked="0"/>
    </xf>
    <xf numFmtId="164" fontId="7" fillId="2" borderId="0" xfId="0" applyFont="1" applyFill="1" applyAlignment="1" applyProtection="1">
      <alignment horizontal="left"/>
      <protection locked="0"/>
    </xf>
    <xf numFmtId="164" fontId="8" fillId="2" borderId="0" xfId="0" applyFont="1" applyFill="1" applyBorder="1" applyAlignment="1">
      <alignment horizontal="left"/>
    </xf>
    <xf numFmtId="164" fontId="8" fillId="2" borderId="0" xfId="5" applyFont="1" applyFill="1" applyBorder="1"/>
    <xf numFmtId="166" fontId="7" fillId="2" borderId="0" xfId="2" applyNumberFormat="1" applyFont="1" applyFill="1" applyBorder="1" applyProtection="1"/>
    <xf numFmtId="41" fontId="7" fillId="2" borderId="0" xfId="0" applyNumberFormat="1" applyFont="1" applyFill="1" applyBorder="1" applyAlignment="1" applyProtection="1">
      <alignment horizontal="left"/>
    </xf>
    <xf numFmtId="5" fontId="8" fillId="2" borderId="0" xfId="0" applyNumberFormat="1" applyFont="1" applyFill="1" applyBorder="1" applyProtection="1"/>
    <xf numFmtId="41" fontId="8" fillId="2" borderId="0" xfId="1" applyNumberFormat="1" applyFont="1" applyFill="1" applyBorder="1" applyAlignment="1" applyProtection="1">
      <alignment horizontal="right"/>
    </xf>
    <xf numFmtId="0" fontId="8" fillId="2" borderId="0" xfId="1" applyNumberFormat="1" applyFont="1" applyFill="1" applyAlignment="1" applyProtection="1">
      <alignment horizontal="left"/>
    </xf>
    <xf numFmtId="41" fontId="7" fillId="2" borderId="0" xfId="0" applyNumberFormat="1" applyFont="1" applyFill="1" applyBorder="1" applyProtection="1"/>
    <xf numFmtId="41" fontId="7" fillId="2" borderId="2" xfId="0" applyNumberFormat="1" applyFont="1" applyFill="1" applyBorder="1" applyProtection="1"/>
    <xf numFmtId="41" fontId="7" fillId="2" borderId="0" xfId="0" applyNumberFormat="1" applyFont="1" applyFill="1" applyAlignment="1" applyProtection="1">
      <alignment horizontal="left"/>
    </xf>
    <xf numFmtId="5" fontId="8" fillId="2" borderId="0" xfId="0" applyNumberFormat="1" applyFont="1" applyFill="1" applyProtection="1"/>
    <xf numFmtId="166" fontId="7" fillId="2" borderId="5" xfId="2" applyNumberFormat="1" applyFont="1" applyFill="1" applyBorder="1" applyAlignment="1" applyProtection="1">
      <alignment horizontal="right"/>
    </xf>
    <xf numFmtId="172" fontId="7" fillId="2" borderId="0" xfId="2" quotePrefix="1" applyNumberFormat="1" applyFont="1" applyFill="1" applyAlignment="1" applyProtection="1">
      <alignment horizontal="left"/>
    </xf>
    <xf numFmtId="164" fontId="7" fillId="2" borderId="0" xfId="0" applyFont="1" applyFill="1"/>
    <xf numFmtId="41" fontId="7" fillId="2" borderId="0" xfId="0" applyNumberFormat="1" applyFont="1" applyFill="1" applyProtection="1"/>
    <xf numFmtId="167" fontId="8" fillId="2" borderId="0" xfId="1" applyNumberFormat="1" applyFont="1" applyFill="1" applyAlignment="1" applyProtection="1">
      <alignment horizontal="right"/>
    </xf>
    <xf numFmtId="167" fontId="8" fillId="2" borderId="0" xfId="1" applyNumberFormat="1" applyFont="1" applyFill="1" applyAlignment="1" applyProtection="1">
      <alignment horizontal="left"/>
    </xf>
    <xf numFmtId="0" fontId="7" fillId="2" borderId="0" xfId="6" applyFont="1" applyFill="1" applyAlignment="1">
      <alignment horizontal="left"/>
    </xf>
    <xf numFmtId="41" fontId="8" fillId="2" borderId="0" xfId="1" applyNumberFormat="1" applyFont="1" applyFill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right"/>
    </xf>
    <xf numFmtId="167" fontId="7" fillId="2" borderId="0" xfId="1" applyNumberFormat="1" applyFont="1" applyFill="1" applyBorder="1" applyAlignment="1" applyProtection="1">
      <alignment horizontal="left"/>
    </xf>
    <xf numFmtId="167" fontId="7" fillId="2" borderId="0" xfId="1" applyNumberFormat="1" applyFont="1" applyFill="1" applyBorder="1" applyProtection="1"/>
    <xf numFmtId="172" fontId="7" fillId="2" borderId="0" xfId="2" applyNumberFormat="1" applyFont="1" applyFill="1" applyAlignment="1" applyProtection="1">
      <alignment horizontal="left"/>
    </xf>
    <xf numFmtId="167" fontId="8" fillId="2" borderId="0" xfId="1" applyNumberFormat="1" applyFont="1" applyFill="1" applyBorder="1" applyProtection="1"/>
    <xf numFmtId="167" fontId="8" fillId="2" borderId="0" xfId="1" applyNumberFormat="1" applyFont="1" applyFill="1" applyProtection="1"/>
    <xf numFmtId="164" fontId="8" fillId="3" borderId="0" xfId="0" applyFont="1" applyFill="1" applyAlignment="1"/>
    <xf numFmtId="164" fontId="8" fillId="3" borderId="0" xfId="5" applyFont="1" applyFill="1"/>
    <xf numFmtId="172" fontId="8" fillId="2" borderId="0" xfId="2" applyNumberFormat="1" applyFont="1" applyFill="1" applyBorder="1" applyAlignment="1" applyProtection="1">
      <alignment horizontal="left"/>
    </xf>
    <xf numFmtId="172" fontId="8" fillId="2" borderId="0" xfId="2" applyNumberFormat="1" applyFont="1" applyFill="1" applyBorder="1" applyAlignment="1" applyProtection="1">
      <alignment horizontal="right"/>
    </xf>
    <xf numFmtId="41" fontId="8" fillId="2" borderId="0" xfId="1" applyNumberFormat="1" applyFont="1" applyFill="1" applyBorder="1" applyProtection="1"/>
    <xf numFmtId="41" fontId="7" fillId="2" borderId="0" xfId="1" applyNumberFormat="1" applyFont="1" applyFill="1" applyBorder="1" applyProtection="1"/>
    <xf numFmtId="37" fontId="8" fillId="2" borderId="0" xfId="5" applyNumberFormat="1" applyFont="1" applyFill="1" applyBorder="1" applyAlignment="1">
      <alignment horizontal="left"/>
    </xf>
    <xf numFmtId="167" fontId="7" fillId="2" borderId="0" xfId="1" applyNumberFormat="1" applyFont="1" applyFill="1" applyBorder="1" applyAlignment="1">
      <alignment horizontal="right" vertical="top"/>
    </xf>
    <xf numFmtId="37" fontId="8" fillId="2" borderId="0" xfId="5" applyNumberFormat="1" applyFont="1" applyFill="1" applyBorder="1" applyAlignment="1">
      <alignment horizontal="right"/>
    </xf>
    <xf numFmtId="167" fontId="8" fillId="2" borderId="0" xfId="1" applyNumberFormat="1" applyFont="1" applyFill="1" applyBorder="1" applyAlignment="1">
      <alignment horizontal="right" vertical="top"/>
    </xf>
    <xf numFmtId="164" fontId="7" fillId="3" borderId="0" xfId="0" applyFont="1" applyFill="1" applyAlignment="1"/>
    <xf numFmtId="167" fontId="7" fillId="2" borderId="6" xfId="1" applyNumberFormat="1" applyFont="1" applyFill="1" applyBorder="1" applyAlignment="1">
      <alignment horizontal="right" vertical="top"/>
    </xf>
    <xf numFmtId="166" fontId="7" fillId="2" borderId="3" xfId="2" applyNumberFormat="1" applyFont="1" applyFill="1" applyBorder="1" applyProtection="1"/>
    <xf numFmtId="166" fontId="8" fillId="2" borderId="3" xfId="2" applyNumberFormat="1" applyFont="1" applyFill="1" applyBorder="1" applyProtection="1"/>
    <xf numFmtId="172" fontId="7" fillId="2" borderId="0" xfId="2" applyNumberFormat="1" applyFont="1" applyFill="1" applyBorder="1" applyProtection="1"/>
    <xf numFmtId="5" fontId="8" fillId="2" borderId="0" xfId="0" applyNumberFormat="1" applyFont="1" applyFill="1" applyAlignment="1" applyProtection="1">
      <alignment horizontal="right"/>
    </xf>
    <xf numFmtId="5" fontId="8" fillId="2" borderId="0" xfId="0" applyNumberFormat="1" applyFont="1" applyFill="1" applyAlignment="1" applyProtection="1">
      <alignment horizontal="left"/>
    </xf>
    <xf numFmtId="41" fontId="7" fillId="2" borderId="0" xfId="0" applyNumberFormat="1" applyFont="1" applyFill="1" applyAlignment="1" applyProtection="1">
      <alignment horizontal="right"/>
    </xf>
    <xf numFmtId="168" fontId="7" fillId="2" borderId="0" xfId="1" applyNumberFormat="1" applyFont="1" applyFill="1" applyAlignment="1">
      <alignment horizontal="right"/>
    </xf>
    <xf numFmtId="173" fontId="7" fillId="2" borderId="0" xfId="0" applyNumberFormat="1" applyFont="1" applyFill="1" applyAlignment="1" applyProtection="1">
      <alignment horizontal="left"/>
    </xf>
    <xf numFmtId="168" fontId="8" fillId="2" borderId="0" xfId="1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right"/>
    </xf>
    <xf numFmtId="173" fontId="8" fillId="2" borderId="0" xfId="0" applyNumberFormat="1" applyFont="1" applyFill="1" applyAlignment="1" applyProtection="1">
      <alignment horizontal="left"/>
    </xf>
    <xf numFmtId="37" fontId="7" fillId="2" borderId="0" xfId="0" applyNumberFormat="1" applyFont="1" applyFill="1" applyAlignment="1" applyProtection="1">
      <alignment horizontal="left"/>
    </xf>
    <xf numFmtId="37" fontId="7" fillId="2" borderId="0" xfId="0" applyNumberFormat="1" applyFont="1" applyFill="1" applyAlignment="1" applyProtection="1">
      <alignment horizontal="left" indent="1"/>
    </xf>
    <xf numFmtId="164" fontId="8" fillId="2" borderId="0" xfId="5" applyFont="1" applyFill="1" applyAlignment="1">
      <alignment horizontal="left"/>
    </xf>
    <xf numFmtId="164" fontId="8" fillId="2" borderId="0" xfId="5" applyFont="1" applyFill="1" applyAlignment="1">
      <alignment horizontal="right"/>
    </xf>
    <xf numFmtId="165" fontId="7" fillId="2" borderId="0" xfId="9" applyNumberFormat="1" applyFont="1" applyFill="1" applyAlignment="1" applyProtection="1">
      <alignment horizontal="left"/>
    </xf>
    <xf numFmtId="41" fontId="7" fillId="2" borderId="0" xfId="9" applyNumberFormat="1" applyFont="1" applyFill="1" applyBorder="1" applyAlignment="1" applyProtection="1">
      <alignment horizontal="center"/>
    </xf>
    <xf numFmtId="165" fontId="8" fillId="2" borderId="0" xfId="9" applyNumberFormat="1" applyFont="1" applyFill="1" applyProtection="1"/>
    <xf numFmtId="165" fontId="8" fillId="2" borderId="0" xfId="9" applyNumberFormat="1" applyFont="1" applyFill="1" applyAlignment="1" applyProtection="1">
      <alignment horizontal="center"/>
    </xf>
    <xf numFmtId="165" fontId="7" fillId="2" borderId="0" xfId="9" applyNumberFormat="1" applyFont="1" applyFill="1" applyBorder="1" applyProtection="1"/>
    <xf numFmtId="16" fontId="8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7" fillId="2" borderId="0" xfId="9" applyNumberFormat="1" applyFont="1" applyFill="1" applyProtection="1"/>
    <xf numFmtId="171" fontId="8" fillId="2" borderId="0" xfId="9" quotePrefix="1" applyNumberFormat="1" applyFont="1" applyFill="1" applyBorder="1" applyProtection="1"/>
    <xf numFmtId="165" fontId="8" fillId="2" borderId="0" xfId="9" applyNumberFormat="1" applyFont="1" applyFill="1" applyAlignment="1" applyProtection="1">
      <alignment horizontal="left"/>
    </xf>
    <xf numFmtId="171" fontId="8" fillId="2" borderId="0" xfId="9" applyNumberFormat="1" applyFont="1" applyFill="1" applyBorder="1" applyProtection="1"/>
    <xf numFmtId="166" fontId="8" fillId="2" borderId="0" xfId="2" applyNumberFormat="1" applyFont="1" applyFill="1" applyProtection="1"/>
    <xf numFmtId="41" fontId="7" fillId="2" borderId="0" xfId="1" applyNumberFormat="1" applyFont="1" applyFill="1" applyProtection="1"/>
    <xf numFmtId="41" fontId="8" fillId="2" borderId="0" xfId="1" applyNumberFormat="1" applyFont="1" applyFill="1" applyProtection="1"/>
    <xf numFmtId="41" fontId="7" fillId="2" borderId="2" xfId="1" applyNumberFormat="1" applyFont="1" applyFill="1" applyBorder="1" applyProtection="1"/>
    <xf numFmtId="41" fontId="8" fillId="2" borderId="2" xfId="1" applyNumberFormat="1" applyFont="1" applyFill="1" applyBorder="1" applyProtection="1"/>
    <xf numFmtId="165" fontId="8" fillId="2" borderId="0" xfId="9" applyNumberFormat="1" applyFont="1" applyFill="1" applyAlignment="1" applyProtection="1">
      <alignment horizontal="left" indent="1"/>
    </xf>
    <xf numFmtId="171" fontId="8" fillId="2" borderId="0" xfId="9" applyNumberFormat="1" applyFont="1" applyFill="1" applyProtection="1"/>
    <xf numFmtId="41" fontId="7" fillId="2" borderId="0" xfId="9" applyNumberFormat="1" applyFont="1" applyFill="1" applyBorder="1" applyAlignment="1">
      <alignment horizontal="center"/>
    </xf>
    <xf numFmtId="42" fontId="7" fillId="2" borderId="0" xfId="2" applyNumberFormat="1" applyFont="1" applyFill="1" applyBorder="1" applyAlignment="1" applyProtection="1">
      <alignment horizontal="center"/>
    </xf>
    <xf numFmtId="5" fontId="7" fillId="2" borderId="0" xfId="9" applyNumberFormat="1" applyFont="1" applyFill="1" applyProtection="1"/>
    <xf numFmtId="5" fontId="8" fillId="2" borderId="0" xfId="9" applyNumberFormat="1" applyFont="1" applyFill="1" applyProtection="1"/>
    <xf numFmtId="41" fontId="8" fillId="2" borderId="0" xfId="9" applyNumberFormat="1" applyFont="1" applyFill="1" applyBorder="1" applyAlignment="1">
      <alignment horizontal="center"/>
    </xf>
    <xf numFmtId="171" fontId="8" fillId="2" borderId="0" xfId="9" applyNumberFormat="1" applyFont="1" applyFill="1"/>
    <xf numFmtId="165" fontId="7" fillId="2" borderId="0" xfId="9" quotePrefix="1" applyNumberFormat="1" applyFont="1" applyFill="1" applyAlignment="1" applyProtection="1">
      <alignment horizontal="left"/>
    </xf>
    <xf numFmtId="0" fontId="8" fillId="2" borderId="0" xfId="10" applyFont="1" applyFill="1"/>
    <xf numFmtId="165" fontId="7" fillId="3" borderId="0" xfId="9" applyNumberFormat="1" applyFont="1" applyFill="1" applyAlignment="1" applyProtection="1">
      <alignment horizontal="left"/>
    </xf>
    <xf numFmtId="165" fontId="8" fillId="3" borderId="0" xfId="9" applyNumberFormat="1" applyFont="1" applyFill="1" applyProtection="1"/>
    <xf numFmtId="164" fontId="8" fillId="3" borderId="0" xfId="11" applyFont="1" applyFill="1"/>
    <xf numFmtId="164" fontId="8" fillId="3" borderId="0" xfId="9" applyFont="1" applyFill="1"/>
    <xf numFmtId="165" fontId="10" fillId="3" borderId="0" xfId="9" applyNumberFormat="1" applyFont="1" applyFill="1" applyProtection="1"/>
    <xf numFmtId="165" fontId="7" fillId="3" borderId="0" xfId="9" applyNumberFormat="1" applyFont="1" applyFill="1" applyProtection="1"/>
    <xf numFmtId="166" fontId="7" fillId="3" borderId="0" xfId="9" applyNumberFormat="1" applyFont="1" applyFill="1" applyProtection="1"/>
    <xf numFmtId="37" fontId="8" fillId="3" borderId="0" xfId="9" applyNumberFormat="1" applyFont="1" applyFill="1" applyProtection="1"/>
    <xf numFmtId="166" fontId="8" fillId="3" borderId="0" xfId="9" applyNumberFormat="1" applyFont="1" applyFill="1" applyProtection="1"/>
    <xf numFmtId="165" fontId="8" fillId="3" borderId="0" xfId="9" applyNumberFormat="1" applyFont="1" applyFill="1" applyAlignment="1" applyProtection="1">
      <alignment horizontal="left"/>
    </xf>
    <xf numFmtId="42" fontId="7" fillId="2" borderId="0" xfId="2" applyNumberFormat="1" applyFont="1" applyFill="1" applyProtection="1"/>
    <xf numFmtId="42" fontId="8" fillId="3" borderId="0" xfId="2" applyNumberFormat="1" applyFont="1" applyFill="1" applyProtection="1"/>
    <xf numFmtId="165" fontId="8" fillId="3" borderId="0" xfId="12" applyNumberFormat="1" applyFont="1" applyFill="1" applyAlignment="1" applyProtection="1">
      <alignment horizontal="left" indent="1"/>
    </xf>
    <xf numFmtId="41" fontId="8" fillId="3" borderId="0" xfId="1" applyNumberFormat="1" applyFont="1" applyFill="1" applyProtection="1"/>
    <xf numFmtId="165" fontId="8" fillId="3" borderId="0" xfId="9" applyNumberFormat="1" applyFont="1" applyFill="1" applyAlignment="1" applyProtection="1">
      <alignment horizontal="left" indent="1"/>
    </xf>
    <xf numFmtId="165" fontId="8" fillId="3" borderId="0" xfId="9" applyNumberFormat="1" applyFont="1" applyFill="1" applyAlignment="1" applyProtection="1">
      <alignment wrapText="1"/>
    </xf>
    <xf numFmtId="41" fontId="7" fillId="2" borderId="2" xfId="1" applyNumberFormat="1" applyFont="1" applyFill="1" applyBorder="1"/>
    <xf numFmtId="41" fontId="8" fillId="3" borderId="0" xfId="1" applyNumberFormat="1" applyFont="1" applyFill="1"/>
    <xf numFmtId="41" fontId="7" fillId="2" borderId="0" xfId="1" applyNumberFormat="1" applyFont="1" applyFill="1"/>
    <xf numFmtId="41" fontId="8" fillId="3" borderId="0" xfId="1" applyNumberFormat="1" applyFont="1" applyFill="1" applyBorder="1" applyProtection="1"/>
    <xf numFmtId="0" fontId="8" fillId="3" borderId="0" xfId="10" applyFont="1" applyFill="1" applyAlignment="1">
      <alignment horizontal="left"/>
    </xf>
    <xf numFmtId="41" fontId="7" fillId="2" borderId="7" xfId="1" applyNumberFormat="1" applyFont="1" applyFill="1" applyBorder="1" applyProtection="1"/>
    <xf numFmtId="42" fontId="7" fillId="2" borderId="3" xfId="2" applyNumberFormat="1" applyFont="1" applyFill="1" applyBorder="1" applyProtection="1"/>
    <xf numFmtId="164" fontId="7" fillId="3" borderId="0" xfId="11" applyFont="1" applyFill="1"/>
    <xf numFmtId="0" fontId="8" fillId="2" borderId="0" xfId="10" applyFont="1" applyFill="1" applyAlignment="1">
      <alignment horizontal="centerContinuous"/>
    </xf>
    <xf numFmtId="0" fontId="7" fillId="2" borderId="0" xfId="10" applyFont="1" applyFill="1" applyAlignment="1">
      <alignment horizontal="centerContinuous"/>
    </xf>
    <xf numFmtId="174" fontId="7" fillId="2" borderId="0" xfId="10" applyNumberFormat="1" applyFont="1" applyFill="1" applyBorder="1" applyAlignment="1">
      <alignment horizontal="centerContinuous"/>
    </xf>
    <xf numFmtId="0" fontId="7" fillId="2" borderId="0" xfId="10" applyFont="1" applyFill="1" applyBorder="1" applyAlignment="1" applyProtection="1">
      <alignment horizontal="centerContinuous"/>
      <protection locked="0"/>
    </xf>
    <xf numFmtId="0" fontId="7" fillId="2" borderId="0" xfId="10" applyFont="1" applyFill="1" applyBorder="1" applyAlignment="1">
      <alignment horizontal="centerContinuous"/>
    </xf>
    <xf numFmtId="0" fontId="7" fillId="2" borderId="0" xfId="10" applyFont="1" applyFill="1"/>
    <xf numFmtId="0" fontId="7" fillId="2" borderId="0" xfId="10" applyFont="1" applyFill="1" applyBorder="1" applyAlignment="1">
      <alignment horizontal="center"/>
    </xf>
    <xf numFmtId="0" fontId="7" fillId="2" borderId="0" xfId="10" applyFont="1" applyFill="1" applyBorder="1"/>
    <xf numFmtId="0" fontId="7" fillId="2" borderId="0" xfId="10" applyFont="1" applyFill="1" applyAlignment="1">
      <alignment horizontal="center"/>
    </xf>
    <xf numFmtId="0" fontId="7" fillId="2" borderId="0" xfId="10" quotePrefix="1" applyFont="1" applyFill="1"/>
    <xf numFmtId="0" fontId="7" fillId="2" borderId="1" xfId="10" applyFont="1" applyFill="1" applyBorder="1" applyAlignment="1">
      <alignment horizontal="center"/>
    </xf>
    <xf numFmtId="0" fontId="7" fillId="2" borderId="8" xfId="10" applyFont="1" applyFill="1" applyBorder="1"/>
    <xf numFmtId="166" fontId="7" fillId="2" borderId="0" xfId="2" applyNumberFormat="1" applyFont="1" applyFill="1" applyAlignment="1" applyProtection="1">
      <protection locked="0"/>
    </xf>
    <xf numFmtId="0" fontId="8" fillId="2" borderId="0" xfId="10" applyFont="1" applyFill="1" applyAlignment="1">
      <alignment horizontal="left"/>
    </xf>
    <xf numFmtId="41" fontId="8" fillId="2" borderId="0" xfId="10" applyNumberFormat="1" applyFont="1" applyFill="1" applyProtection="1">
      <protection locked="0"/>
    </xf>
    <xf numFmtId="37" fontId="8" fillId="2" borderId="0" xfId="10" applyNumberFormat="1" applyFont="1" applyFill="1" applyProtection="1">
      <protection locked="0"/>
    </xf>
    <xf numFmtId="41" fontId="8" fillId="2" borderId="0" xfId="10" applyNumberFormat="1" applyFont="1" applyFill="1" applyProtection="1"/>
    <xf numFmtId="0" fontId="8" fillId="2" borderId="0" xfId="10" applyFont="1" applyFill="1" applyProtection="1">
      <protection locked="0"/>
    </xf>
    <xf numFmtId="0" fontId="8" fillId="2" borderId="0" xfId="10" applyFont="1" applyFill="1" applyBorder="1"/>
    <xf numFmtId="167" fontId="8" fillId="2" borderId="0" xfId="1" applyNumberFormat="1" applyFont="1" applyFill="1"/>
    <xf numFmtId="41" fontId="8" fillId="2" borderId="0" xfId="10" applyNumberFormat="1" applyFont="1" applyFill="1" applyBorder="1" applyProtection="1"/>
    <xf numFmtId="0" fontId="7" fillId="2" borderId="2" xfId="10" applyFont="1" applyFill="1" applyBorder="1"/>
    <xf numFmtId="41" fontId="7" fillId="2" borderId="2" xfId="10" applyNumberFormat="1" applyFont="1" applyFill="1" applyBorder="1" applyProtection="1"/>
    <xf numFmtId="0" fontId="7" fillId="2" borderId="0" xfId="10" applyFont="1" applyFill="1" applyAlignment="1" applyProtection="1">
      <alignment horizontal="left"/>
      <protection locked="0"/>
    </xf>
    <xf numFmtId="5" fontId="7" fillId="2" borderId="3" xfId="10" applyNumberFormat="1" applyFont="1" applyFill="1" applyBorder="1" applyProtection="1"/>
    <xf numFmtId="5" fontId="7" fillId="2" borderId="0" xfId="10" applyNumberFormat="1" applyFont="1" applyFill="1" applyProtection="1"/>
    <xf numFmtId="175" fontId="7" fillId="2" borderId="3" xfId="10" applyNumberFormat="1" applyFont="1" applyFill="1" applyBorder="1" applyProtection="1"/>
    <xf numFmtId="164" fontId="8" fillId="2" borderId="0" xfId="4" applyFont="1" applyFill="1" applyAlignment="1">
      <alignment vertical="top"/>
    </xf>
    <xf numFmtId="0" fontId="8" fillId="2" borderId="0" xfId="10" applyFont="1" applyFill="1" applyAlignment="1"/>
    <xf numFmtId="164" fontId="8" fillId="2" borderId="0" xfId="0" applyFont="1" applyFill="1" applyAlignment="1"/>
    <xf numFmtId="41" fontId="8" fillId="2" borderId="0" xfId="10" applyNumberFormat="1" applyFont="1" applyFill="1"/>
    <xf numFmtId="165" fontId="13" fillId="2" borderId="0" xfId="13" applyNumberFormat="1" applyFont="1" applyFill="1" applyAlignment="1" applyProtection="1">
      <alignment horizontal="left"/>
    </xf>
    <xf numFmtId="165" fontId="15" fillId="2" borderId="0" xfId="13" applyNumberFormat="1" applyFont="1" applyFill="1" applyProtection="1"/>
    <xf numFmtId="165" fontId="15" fillId="2" borderId="0" xfId="13" applyNumberFormat="1" applyFont="1" applyFill="1" applyBorder="1" applyProtection="1"/>
    <xf numFmtId="164" fontId="15" fillId="2" borderId="0" xfId="13" applyFont="1" applyFill="1"/>
    <xf numFmtId="165" fontId="13" fillId="2" borderId="0" xfId="13" applyNumberFormat="1" applyFont="1" applyFill="1" applyProtection="1"/>
    <xf numFmtId="164" fontId="15" fillId="2" borderId="0" xfId="13" applyFont="1" applyFill="1" applyBorder="1"/>
    <xf numFmtId="165" fontId="13" fillId="2" borderId="0" xfId="9" applyNumberFormat="1" applyFont="1" applyFill="1" applyAlignment="1" applyProtection="1">
      <alignment horizontal="left"/>
    </xf>
    <xf numFmtId="165" fontId="13" fillId="2" borderId="0" xfId="0" applyNumberFormat="1" applyFont="1" applyFill="1" applyAlignment="1" applyProtection="1">
      <alignment horizontal="left"/>
    </xf>
    <xf numFmtId="164" fontId="15" fillId="2" borderId="0" xfId="14" applyFont="1" applyFill="1"/>
    <xf numFmtId="164" fontId="13" fillId="2" borderId="0" xfId="15" quotePrefix="1" applyFont="1" applyFill="1" applyBorder="1" applyAlignment="1">
      <alignment horizontal="center"/>
    </xf>
    <xf numFmtId="164" fontId="15" fillId="2" borderId="0" xfId="15" quotePrefix="1" applyFont="1" applyFill="1" applyBorder="1" applyAlignment="1">
      <alignment horizontal="center"/>
    </xf>
    <xf numFmtId="164" fontId="15" fillId="2" borderId="0" xfId="0" applyFont="1" applyFill="1" applyBorder="1"/>
    <xf numFmtId="164" fontId="13" fillId="2" borderId="1" xfId="15" quotePrefix="1" applyFont="1" applyFill="1" applyBorder="1" applyAlignment="1">
      <alignment horizontal="center" wrapText="1"/>
    </xf>
    <xf numFmtId="164" fontId="15" fillId="2" borderId="0" xfId="0" applyFont="1" applyFill="1" applyBorder="1" applyAlignment="1">
      <alignment horizontal="center"/>
    </xf>
    <xf numFmtId="164" fontId="15" fillId="2" borderId="0" xfId="0" applyFont="1" applyFill="1" applyBorder="1" applyAlignment="1">
      <alignment horizontal="left"/>
    </xf>
    <xf numFmtId="166" fontId="13" fillId="2" borderId="0" xfId="2" applyNumberFormat="1" applyFont="1" applyFill="1" applyBorder="1" applyProtection="1"/>
    <xf numFmtId="167" fontId="16" fillId="2" borderId="0" xfId="1" quotePrefix="1" applyNumberFormat="1" applyFont="1" applyFill="1" applyBorder="1" applyAlignment="1"/>
    <xf numFmtId="167" fontId="13" fillId="2" borderId="0" xfId="1" applyNumberFormat="1" applyFont="1" applyFill="1" applyBorder="1" applyProtection="1"/>
    <xf numFmtId="164" fontId="15" fillId="2" borderId="0" xfId="0" applyFont="1" applyFill="1" applyAlignment="1">
      <alignment horizontal="left"/>
    </xf>
    <xf numFmtId="167" fontId="13" fillId="2" borderId="0" xfId="1" applyNumberFormat="1" applyFont="1" applyFill="1" applyProtection="1"/>
    <xf numFmtId="167" fontId="13" fillId="2" borderId="0" xfId="1" applyNumberFormat="1" applyFont="1" applyFill="1" applyBorder="1" applyAlignment="1">
      <alignment horizontal="left"/>
    </xf>
    <xf numFmtId="164" fontId="13" fillId="2" borderId="0" xfId="0" applyFont="1" applyFill="1" applyAlignment="1">
      <alignment horizontal="left"/>
    </xf>
    <xf numFmtId="166" fontId="13" fillId="2" borderId="4" xfId="2" applyNumberFormat="1" applyFont="1" applyFill="1" applyBorder="1" applyProtection="1"/>
    <xf numFmtId="164" fontId="13" fillId="2" borderId="0" xfId="0" applyFont="1" applyFill="1" applyBorder="1" applyAlignment="1">
      <alignment horizontal="left"/>
    </xf>
    <xf numFmtId="164" fontId="15" fillId="2" borderId="0" xfId="15" applyFont="1" applyFill="1"/>
    <xf numFmtId="165" fontId="17" fillId="2" borderId="0" xfId="13" applyNumberFormat="1" applyFont="1" applyFill="1" applyBorder="1" applyAlignment="1" applyProtection="1">
      <alignment horizontal="center" vertical="center"/>
    </xf>
    <xf numFmtId="165" fontId="15" fillId="2" borderId="0" xfId="13" applyNumberFormat="1" applyFont="1" applyFill="1" applyAlignment="1" applyProtection="1">
      <alignment horizontal="left"/>
    </xf>
    <xf numFmtId="41" fontId="15" fillId="2" borderId="0" xfId="1" applyNumberFormat="1" applyFont="1" applyFill="1" applyAlignment="1">
      <alignment horizontal="right"/>
    </xf>
    <xf numFmtId="164" fontId="8" fillId="2" borderId="0" xfId="5" quotePrefix="1" applyFont="1" applyFill="1" applyBorder="1" applyAlignment="1">
      <alignment horizontal="left"/>
    </xf>
    <xf numFmtId="39" fontId="8" fillId="3" borderId="0" xfId="5" applyNumberFormat="1" applyFont="1" applyFill="1"/>
    <xf numFmtId="165" fontId="7" fillId="2" borderId="1" xfId="9" applyNumberFormat="1" applyFont="1" applyFill="1" applyBorder="1" applyAlignment="1" applyProtection="1">
      <alignment horizontal="center" vertical="center" wrapText="1"/>
    </xf>
    <xf numFmtId="169" fontId="8" fillId="2" borderId="0" xfId="3" applyNumberFormat="1" applyFont="1" applyFill="1"/>
    <xf numFmtId="44" fontId="3" fillId="2" borderId="3" xfId="2" applyFont="1" applyFill="1" applyBorder="1" applyProtection="1"/>
    <xf numFmtId="165" fontId="15" fillId="2" borderId="0" xfId="13" applyNumberFormat="1" applyFont="1" applyFill="1" applyAlignment="1" applyProtection="1"/>
    <xf numFmtId="164" fontId="15" fillId="2" borderId="0" xfId="13" applyFont="1" applyFill="1" applyAlignment="1"/>
    <xf numFmtId="164" fontId="13" fillId="2" borderId="0" xfId="0" applyFont="1" applyFill="1" applyAlignment="1"/>
    <xf numFmtId="164" fontId="15" fillId="2" borderId="0" xfId="14" applyFont="1" applyFill="1" applyBorder="1" applyAlignment="1"/>
    <xf numFmtId="164" fontId="15" fillId="2" borderId="0" xfId="0" applyFont="1" applyFill="1" applyBorder="1" applyAlignment="1"/>
    <xf numFmtId="167" fontId="13" fillId="2" borderId="0" xfId="1" applyNumberFormat="1" applyFont="1" applyFill="1" applyAlignment="1"/>
    <xf numFmtId="164" fontId="13" fillId="2" borderId="0" xfId="0" applyFont="1" applyFill="1" applyBorder="1" applyAlignment="1"/>
    <xf numFmtId="41" fontId="13" fillId="2" borderId="0" xfId="1" applyNumberFormat="1" applyFont="1" applyFill="1" applyAlignment="1">
      <alignment horizontal="right"/>
    </xf>
    <xf numFmtId="166" fontId="15" fillId="2" borderId="0" xfId="2" applyNumberFormat="1" applyFont="1" applyFill="1" applyBorder="1" applyProtection="1"/>
    <xf numFmtId="167" fontId="15" fillId="2" borderId="0" xfId="1" applyNumberFormat="1" applyFont="1" applyFill="1" applyBorder="1" applyProtection="1"/>
    <xf numFmtId="167" fontId="15" fillId="2" borderId="0" xfId="1" applyNumberFormat="1" applyFont="1" applyFill="1" applyProtection="1"/>
    <xf numFmtId="166" fontId="15" fillId="2" borderId="4" xfId="2" applyNumberFormat="1" applyFont="1" applyFill="1" applyBorder="1" applyProtection="1"/>
    <xf numFmtId="49" fontId="3" fillId="2" borderId="2" xfId="0" quotePrefix="1" applyNumberFormat="1" applyFont="1" applyFill="1" applyBorder="1" applyAlignment="1" applyProtection="1">
      <alignment horizontal="center" wrapText="1"/>
    </xf>
    <xf numFmtId="167" fontId="3" fillId="0" borderId="0" xfId="1" applyNumberFormat="1" applyFont="1" applyFill="1" applyProtection="1"/>
    <xf numFmtId="169" fontId="4" fillId="2" borderId="0" xfId="0" applyNumberFormat="1" applyFont="1" applyFill="1" applyProtection="1"/>
    <xf numFmtId="37" fontId="3" fillId="2" borderId="0" xfId="0" applyNumberFormat="1" applyFont="1" applyFill="1"/>
    <xf numFmtId="49" fontId="7" fillId="2" borderId="2" xfId="0" quotePrefix="1" applyNumberFormat="1" applyFont="1" applyFill="1" applyBorder="1" applyAlignment="1" applyProtection="1">
      <alignment horizontal="center" wrapText="1"/>
    </xf>
    <xf numFmtId="49" fontId="20" fillId="2" borderId="0" xfId="4" applyNumberFormat="1" applyFont="1" applyFill="1" applyAlignment="1" applyProtection="1">
      <alignment horizontal="center"/>
    </xf>
    <xf numFmtId="167" fontId="7" fillId="2" borderId="2" xfId="1" applyNumberFormat="1" applyFont="1" applyFill="1" applyBorder="1" applyAlignment="1">
      <alignment horizontal="right" vertical="top"/>
    </xf>
    <xf numFmtId="49" fontId="7" fillId="3" borderId="2" xfId="9" quotePrefix="1" applyNumberFormat="1" applyFont="1" applyFill="1" applyBorder="1" applyAlignment="1" applyProtection="1">
      <alignment horizontal="center" wrapText="1"/>
    </xf>
    <xf numFmtId="49" fontId="13" fillId="2" borderId="2" xfId="13" quotePrefix="1" applyNumberFormat="1" applyFont="1" applyFill="1" applyBorder="1" applyAlignment="1" applyProtection="1">
      <alignment horizontal="center" vertical="center" wrapText="1"/>
    </xf>
    <xf numFmtId="49" fontId="13" fillId="2" borderId="0" xfId="13" applyNumberFormat="1" applyFont="1" applyFill="1" applyBorder="1" applyAlignment="1" applyProtection="1">
      <alignment horizontal="center"/>
    </xf>
    <xf numFmtId="41" fontId="15" fillId="2" borderId="0" xfId="1" applyNumberFormat="1" applyFont="1" applyFill="1" applyBorder="1"/>
    <xf numFmtId="41" fontId="15" fillId="2" borderId="0" xfId="1" applyNumberFormat="1" applyFont="1" applyFill="1"/>
    <xf numFmtId="49" fontId="13" fillId="2" borderId="0" xfId="13" quotePrefix="1" applyNumberFormat="1" applyFont="1" applyFill="1" applyBorder="1" applyAlignment="1" applyProtection="1">
      <alignment horizontal="center" vertical="center" wrapText="1"/>
    </xf>
    <xf numFmtId="41" fontId="13" fillId="2" borderId="0" xfId="1" applyNumberFormat="1" applyFont="1" applyFill="1" applyBorder="1" applyAlignment="1">
      <alignment horizontal="right"/>
    </xf>
    <xf numFmtId="164" fontId="15" fillId="2" borderId="0" xfId="0" applyFont="1" applyFill="1" applyAlignment="1">
      <alignment horizontal="center"/>
    </xf>
    <xf numFmtId="164" fontId="13" fillId="2" borderId="0" xfId="0" applyFont="1" applyFill="1" applyAlignment="1">
      <alignment horizontal="center"/>
    </xf>
    <xf numFmtId="164" fontId="13" fillId="2" borderId="0" xfId="0" applyFont="1" applyFill="1" applyBorder="1" applyAlignment="1">
      <alignment horizontal="center"/>
    </xf>
    <xf numFmtId="164" fontId="15" fillId="2" borderId="0" xfId="14" applyFont="1" applyFill="1" applyBorder="1" applyAlignment="1">
      <alignment horizontal="center"/>
    </xf>
    <xf numFmtId="164" fontId="15" fillId="2" borderId="0" xfId="5" applyFont="1" applyFill="1"/>
    <xf numFmtId="164" fontId="15" fillId="2" borderId="0" xfId="15" applyFont="1" applyFill="1" applyBorder="1"/>
    <xf numFmtId="166" fontId="4" fillId="2" borderId="0" xfId="2" applyNumberFormat="1" applyFont="1" applyFill="1" applyProtection="1"/>
    <xf numFmtId="167" fontId="4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4" fillId="0" borderId="0" xfId="1" applyNumberFormat="1" applyFont="1" applyFill="1" applyProtection="1"/>
    <xf numFmtId="167" fontId="4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44" fontId="4" fillId="2" borderId="3" xfId="2" applyFont="1" applyFill="1" applyBorder="1" applyProtection="1"/>
    <xf numFmtId="171" fontId="4" fillId="2" borderId="0" xfId="0" applyNumberFormat="1" applyFont="1" applyFill="1" applyProtection="1"/>
    <xf numFmtId="166" fontId="8" fillId="2" borderId="0" xfId="2" applyNumberFormat="1" applyFont="1" applyFill="1" applyBorder="1" applyProtection="1"/>
    <xf numFmtId="41" fontId="8" fillId="2" borderId="0" xfId="0" applyNumberFormat="1" applyFont="1" applyFill="1" applyBorder="1" applyProtection="1"/>
    <xf numFmtId="41" fontId="8" fillId="2" borderId="2" xfId="0" applyNumberFormat="1" applyFont="1" applyFill="1" applyBorder="1" applyProtection="1"/>
    <xf numFmtId="166" fontId="8" fillId="2" borderId="5" xfId="2" applyNumberFormat="1" applyFont="1" applyFill="1" applyBorder="1" applyAlignment="1" applyProtection="1">
      <alignment horizontal="right"/>
    </xf>
    <xf numFmtId="41" fontId="8" fillId="2" borderId="0" xfId="0" applyNumberFormat="1" applyFont="1" applyFill="1" applyProtection="1"/>
    <xf numFmtId="167" fontId="8" fillId="2" borderId="0" xfId="1" applyNumberFormat="1" applyFont="1" applyFill="1" applyBorder="1" applyAlignment="1" applyProtection="1">
      <alignment horizontal="right"/>
    </xf>
    <xf numFmtId="167" fontId="8" fillId="2" borderId="2" xfId="1" applyNumberFormat="1" applyFont="1" applyFill="1" applyBorder="1" applyAlignment="1">
      <alignment horizontal="right" vertical="top"/>
    </xf>
    <xf numFmtId="167" fontId="8" fillId="2" borderId="6" xfId="1" applyNumberFormat="1" applyFont="1" applyFill="1" applyBorder="1" applyAlignment="1">
      <alignment horizontal="right" vertical="top"/>
    </xf>
    <xf numFmtId="172" fontId="8" fillId="2" borderId="0" xfId="2" applyNumberFormat="1" applyFont="1" applyFill="1" applyBorder="1" applyProtection="1"/>
    <xf numFmtId="42" fontId="8" fillId="2" borderId="0" xfId="2" applyNumberFormat="1" applyFont="1" applyFill="1" applyProtection="1"/>
    <xf numFmtId="41" fontId="8" fillId="2" borderId="2" xfId="1" applyNumberFormat="1" applyFont="1" applyFill="1" applyBorder="1"/>
    <xf numFmtId="41" fontId="8" fillId="2" borderId="0" xfId="1" applyNumberFormat="1" applyFont="1" applyFill="1"/>
    <xf numFmtId="41" fontId="8" fillId="2" borderId="7" xfId="1" applyNumberFormat="1" applyFont="1" applyFill="1" applyBorder="1" applyProtection="1"/>
    <xf numFmtId="42" fontId="8" fillId="2" borderId="3" xfId="2" applyNumberFormat="1" applyFont="1" applyFill="1" applyBorder="1" applyProtection="1"/>
    <xf numFmtId="164" fontId="21" fillId="0" borderId="0" xfId="0" applyFont="1"/>
    <xf numFmtId="44" fontId="4" fillId="2" borderId="0" xfId="2" applyFont="1" applyFill="1" applyBorder="1" applyProtection="1"/>
    <xf numFmtId="44" fontId="3" fillId="2" borderId="0" xfId="2" applyFont="1" applyFill="1" applyBorder="1" applyProtection="1"/>
    <xf numFmtId="43" fontId="4" fillId="2" borderId="2" xfId="1" applyFont="1" applyFill="1" applyBorder="1" applyProtection="1"/>
    <xf numFmtId="41" fontId="8" fillId="2" borderId="2" xfId="1" applyNumberFormat="1" applyFont="1" applyFill="1" applyBorder="1" applyAlignment="1" applyProtection="1">
      <alignment horizontal="right"/>
    </xf>
    <xf numFmtId="43" fontId="3" fillId="2" borderId="2" xfId="1" applyFont="1" applyFill="1" applyBorder="1" applyProtection="1"/>
    <xf numFmtId="43" fontId="3" fillId="2" borderId="2" xfId="1" applyNumberFormat="1" applyFont="1" applyFill="1" applyBorder="1" applyProtection="1"/>
    <xf numFmtId="166" fontId="7" fillId="2" borderId="0" xfId="2" applyNumberFormat="1" applyFont="1" applyFill="1" applyProtection="1"/>
    <xf numFmtId="171" fontId="7" fillId="2" borderId="0" xfId="9" applyNumberFormat="1" applyFont="1" applyFill="1" applyProtection="1"/>
    <xf numFmtId="171" fontId="7" fillId="2" borderId="0" xfId="9" applyNumberFormat="1" applyFont="1" applyFill="1"/>
    <xf numFmtId="164" fontId="8" fillId="2" borderId="0" xfId="0" applyFont="1" applyFill="1" applyBorder="1"/>
    <xf numFmtId="0" fontId="8" fillId="2" borderId="0" xfId="10" applyFont="1" applyFill="1" applyAlignment="1">
      <alignment horizontal="left" wrapText="1"/>
    </xf>
    <xf numFmtId="164" fontId="4" fillId="2" borderId="0" xfId="5" quotePrefix="1" applyFont="1" applyFill="1" applyBorder="1" applyAlignment="1">
      <alignment wrapText="1"/>
    </xf>
    <xf numFmtId="164" fontId="4" fillId="3" borderId="0" xfId="11" applyFont="1" applyFill="1"/>
    <xf numFmtId="177" fontId="4" fillId="2" borderId="3" xfId="3" applyNumberFormat="1" applyFont="1" applyFill="1" applyBorder="1" applyProtection="1"/>
    <xf numFmtId="167" fontId="7" fillId="2" borderId="0" xfId="1" applyNumberFormat="1" applyFont="1" applyFill="1" applyProtection="1"/>
    <xf numFmtId="42" fontId="7" fillId="2" borderId="0" xfId="2" applyNumberFormat="1" applyFont="1" applyFill="1" applyBorder="1" applyProtection="1"/>
    <xf numFmtId="164" fontId="4" fillId="2" borderId="0" xfId="5" quotePrefix="1" applyFont="1" applyFill="1"/>
    <xf numFmtId="164" fontId="4" fillId="2" borderId="0" xfId="5" quotePrefix="1" applyFont="1" applyFill="1" applyBorder="1" applyAlignment="1"/>
    <xf numFmtId="165" fontId="26" fillId="2" borderId="0" xfId="13" applyNumberFormat="1" applyFont="1" applyFill="1" applyAlignment="1" applyProtection="1">
      <alignment horizontal="left"/>
    </xf>
    <xf numFmtId="164" fontId="2" fillId="3" borderId="0" xfId="26" quotePrefix="1" applyFont="1" applyFill="1" applyBorder="1" applyAlignment="1">
      <alignment horizontal="center"/>
    </xf>
    <xf numFmtId="164" fontId="2" fillId="3" borderId="0" xfId="26" quotePrefix="1" applyFont="1" applyFill="1" applyBorder="1" applyAlignment="1">
      <alignment horizontal="left"/>
    </xf>
    <xf numFmtId="164" fontId="2" fillId="3" borderId="0" xfId="26" applyFont="1" applyFill="1" applyAlignment="1">
      <alignment horizontal="left"/>
    </xf>
    <xf numFmtId="164" fontId="2" fillId="3" borderId="0" xfId="26" applyFont="1" applyFill="1" applyAlignment="1"/>
    <xf numFmtId="165" fontId="26" fillId="2" borderId="0" xfId="26" applyNumberFormat="1" applyFont="1" applyFill="1" applyAlignment="1" applyProtection="1">
      <alignment horizontal="left"/>
    </xf>
    <xf numFmtId="164" fontId="26" fillId="3" borderId="0" xfId="26" applyFont="1" applyFill="1" applyBorder="1" applyAlignment="1">
      <alignment horizontal="center"/>
    </xf>
    <xf numFmtId="164" fontId="26" fillId="3" borderId="0" xfId="26" applyFont="1" applyFill="1" applyBorder="1" applyAlignment="1">
      <alignment horizontal="left"/>
    </xf>
    <xf numFmtId="165" fontId="26" fillId="2" borderId="0" xfId="0" applyNumberFormat="1" applyFont="1" applyFill="1" applyAlignment="1" applyProtection="1">
      <alignment horizontal="left"/>
    </xf>
    <xf numFmtId="165" fontId="26" fillId="3" borderId="0" xfId="26" applyNumberFormat="1" applyFont="1" applyFill="1" applyAlignment="1" applyProtection="1">
      <alignment horizontal="left"/>
    </xf>
    <xf numFmtId="0" fontId="26" fillId="3" borderId="0" xfId="29" applyFont="1" applyFill="1" applyBorder="1" applyAlignment="1">
      <alignment horizontal="center"/>
    </xf>
    <xf numFmtId="164" fontId="26" fillId="3" borderId="0" xfId="26" applyFont="1" applyFill="1" applyAlignment="1"/>
    <xf numFmtId="164" fontId="26" fillId="3" borderId="0" xfId="26" applyFont="1" applyFill="1" applyAlignment="1">
      <alignment horizontal="left"/>
    </xf>
    <xf numFmtId="164" fontId="26" fillId="3" borderId="0" xfId="26" applyFont="1" applyFill="1"/>
    <xf numFmtId="164" fontId="2" fillId="3" borderId="0" xfId="26" applyFont="1" applyFill="1"/>
    <xf numFmtId="15" fontId="26" fillId="3" borderId="2" xfId="29" applyNumberFormat="1" applyFont="1" applyFill="1" applyBorder="1" applyAlignment="1">
      <alignment horizontal="center" wrapText="1"/>
    </xf>
    <xf numFmtId="15" fontId="26" fillId="3" borderId="0" xfId="29" quotePrefix="1" applyNumberFormat="1" applyFont="1" applyFill="1" applyBorder="1" applyAlignment="1">
      <alignment horizontal="center"/>
    </xf>
    <xf numFmtId="164" fontId="2" fillId="3" borderId="0" xfId="26" applyFont="1" applyFill="1" applyBorder="1" applyAlignment="1">
      <alignment horizontal="left"/>
    </xf>
    <xf numFmtId="164" fontId="2" fillId="3" borderId="0" xfId="26" applyFont="1" applyFill="1" applyBorder="1"/>
    <xf numFmtId="164" fontId="26" fillId="2" borderId="0" xfId="0" applyFont="1" applyFill="1" applyAlignment="1">
      <alignment horizontal="left"/>
    </xf>
    <xf numFmtId="164" fontId="26" fillId="3" borderId="0" xfId="26" applyFont="1" applyFill="1" applyProtection="1">
      <protection locked="0"/>
    </xf>
    <xf numFmtId="164" fontId="26" fillId="3" borderId="0" xfId="26" applyFont="1" applyFill="1" applyAlignment="1" applyProtection="1">
      <alignment horizontal="left"/>
      <protection locked="0"/>
    </xf>
    <xf numFmtId="164" fontId="26" fillId="2" borderId="0" xfId="26" applyFont="1" applyFill="1" applyProtection="1">
      <protection locked="0"/>
    </xf>
    <xf numFmtId="164" fontId="0" fillId="2" borderId="0" xfId="0" applyFont="1" applyFill="1" applyAlignment="1">
      <alignment horizontal="left"/>
    </xf>
    <xf numFmtId="166" fontId="2" fillId="3" borderId="0" xfId="2" applyNumberFormat="1" applyFont="1" applyFill="1" applyBorder="1" applyProtection="1"/>
    <xf numFmtId="37" fontId="2" fillId="3" borderId="0" xfId="2" applyNumberFormat="1" applyFont="1" applyFill="1" applyBorder="1" applyProtection="1"/>
    <xf numFmtId="167" fontId="2" fillId="3" borderId="0" xfId="1" quotePrefix="1" applyNumberFormat="1" applyFont="1" applyFill="1" applyBorder="1" applyAlignment="1">
      <alignment horizontal="center"/>
    </xf>
    <xf numFmtId="43" fontId="2" fillId="3" borderId="0" xfId="1" applyFont="1" applyFill="1" applyBorder="1" applyProtection="1"/>
    <xf numFmtId="167" fontId="2" fillId="3" borderId="0" xfId="1" applyNumberFormat="1" applyFont="1" applyFill="1" applyBorder="1" applyAlignment="1">
      <alignment horizontal="center" wrapText="1"/>
    </xf>
    <xf numFmtId="167" fontId="2" fillId="3" borderId="0" xfId="1" applyNumberFormat="1" applyFont="1" applyFill="1" applyAlignment="1" applyProtection="1">
      <alignment horizontal="left"/>
      <protection locked="0"/>
    </xf>
    <xf numFmtId="164" fontId="26" fillId="2" borderId="0" xfId="0" applyFont="1" applyFill="1" applyBorder="1" applyAlignment="1">
      <alignment horizontal="left"/>
    </xf>
    <xf numFmtId="37" fontId="2" fillId="3" borderId="7" xfId="2" applyNumberFormat="1" applyFont="1" applyFill="1" applyBorder="1" applyProtection="1"/>
    <xf numFmtId="37" fontId="2" fillId="3" borderId="0" xfId="21" applyNumberFormat="1" applyFont="1" applyFill="1" applyAlignment="1" applyProtection="1">
      <alignment horizontal="left"/>
    </xf>
    <xf numFmtId="166" fontId="2" fillId="3" borderId="0" xfId="21" applyNumberFormat="1" applyFont="1" applyFill="1" applyAlignment="1" applyProtection="1">
      <alignment horizontal="left"/>
    </xf>
    <xf numFmtId="166" fontId="2" fillId="3" borderId="7" xfId="2" applyNumberFormat="1" applyFont="1" applyFill="1" applyBorder="1" applyProtection="1"/>
    <xf numFmtId="167" fontId="2" fillId="3" borderId="0" xfId="1" applyNumberFormat="1" applyFont="1" applyFill="1" applyBorder="1" applyProtection="1"/>
    <xf numFmtId="41" fontId="2" fillId="3" borderId="0" xfId="26" applyNumberFormat="1" applyFont="1" applyFill="1" applyBorder="1" applyAlignment="1" applyProtection="1">
      <alignment horizontal="left"/>
    </xf>
    <xf numFmtId="164" fontId="0" fillId="2" borderId="0" xfId="0" applyFont="1" applyFill="1" applyBorder="1" applyAlignment="1">
      <alignment horizontal="left"/>
    </xf>
    <xf numFmtId="167" fontId="2" fillId="3" borderId="7" xfId="1" applyNumberFormat="1" applyFont="1" applyFill="1" applyBorder="1" applyProtection="1"/>
    <xf numFmtId="167" fontId="2" fillId="3" borderId="7" xfId="1" applyNumberFormat="1" applyFont="1" applyFill="1" applyBorder="1" applyAlignment="1" applyProtection="1">
      <alignment horizontal="right"/>
    </xf>
    <xf numFmtId="41" fontId="2" fillId="3" borderId="0" xfId="26" applyNumberFormat="1" applyFont="1" applyFill="1" applyAlignment="1" applyProtection="1">
      <alignment horizontal="left"/>
    </xf>
    <xf numFmtId="167" fontId="2" fillId="3" borderId="0" xfId="1" applyNumberFormat="1" applyFont="1" applyFill="1" applyBorder="1" applyAlignment="1" applyProtection="1">
      <alignment horizontal="right"/>
    </xf>
    <xf numFmtId="166" fontId="26" fillId="3" borderId="0" xfId="21" applyNumberFormat="1" applyFont="1" applyFill="1" applyAlignment="1" applyProtection="1">
      <alignment horizontal="left"/>
    </xf>
    <xf numFmtId="41" fontId="26" fillId="3" borderId="0" xfId="26" applyNumberFormat="1" applyFont="1" applyFill="1" applyAlignment="1" applyProtection="1">
      <alignment horizontal="left"/>
    </xf>
    <xf numFmtId="167" fontId="2" fillId="3" borderId="2" xfId="1" applyNumberFormat="1" applyFont="1" applyFill="1" applyBorder="1" applyProtection="1"/>
    <xf numFmtId="167" fontId="0" fillId="3" borderId="2" xfId="1" applyNumberFormat="1" applyFont="1" applyFill="1" applyBorder="1" applyProtection="1"/>
    <xf numFmtId="166" fontId="2" fillId="3" borderId="3" xfId="2" applyNumberFormat="1" applyFont="1" applyFill="1" applyBorder="1" applyProtection="1"/>
    <xf numFmtId="167" fontId="26" fillId="3" borderId="0" xfId="1" applyNumberFormat="1" applyFont="1" applyFill="1" applyProtection="1"/>
    <xf numFmtId="164" fontId="0" fillId="3" borderId="0" xfId="26" applyFont="1" applyFill="1" applyAlignment="1">
      <alignment horizontal="left" indent="1"/>
    </xf>
    <xf numFmtId="178" fontId="2" fillId="3" borderId="3" xfId="3" applyNumberFormat="1" applyFont="1" applyFill="1" applyBorder="1" applyProtection="1"/>
    <xf numFmtId="178" fontId="2" fillId="3" borderId="0" xfId="3" applyNumberFormat="1" applyFont="1" applyFill="1" applyBorder="1" applyProtection="1"/>
    <xf numFmtId="44" fontId="2" fillId="3" borderId="0" xfId="2" applyFont="1" applyFill="1" applyProtection="1"/>
    <xf numFmtId="44" fontId="2" fillId="2" borderId="0" xfId="2" applyFont="1" applyFill="1" applyProtection="1"/>
    <xf numFmtId="43" fontId="2" fillId="3" borderId="0" xfId="1" applyFont="1" applyFill="1" applyProtection="1"/>
    <xf numFmtId="43" fontId="2" fillId="2" borderId="0" xfId="1" applyFont="1" applyFill="1" applyProtection="1"/>
    <xf numFmtId="43" fontId="2" fillId="3" borderId="2" xfId="1" applyFont="1" applyFill="1" applyBorder="1" applyProtection="1"/>
    <xf numFmtId="43" fontId="2" fillId="2" borderId="2" xfId="1" applyFont="1" applyFill="1" applyBorder="1" applyProtection="1"/>
    <xf numFmtId="164" fontId="0" fillId="3" borderId="0" xfId="26" applyFont="1" applyFill="1" applyAlignment="1">
      <alignment horizontal="left"/>
    </xf>
    <xf numFmtId="44" fontId="2" fillId="3" borderId="3" xfId="2" applyFont="1" applyFill="1" applyBorder="1" applyProtection="1"/>
    <xf numFmtId="44" fontId="2" fillId="2" borderId="3" xfId="2" applyFont="1" applyFill="1" applyBorder="1" applyProtection="1"/>
    <xf numFmtId="37" fontId="26" fillId="2" borderId="0" xfId="0" applyNumberFormat="1" applyFont="1" applyFill="1" applyAlignment="1" applyProtection="1">
      <alignment horizontal="left"/>
    </xf>
    <xf numFmtId="39" fontId="26" fillId="3" borderId="0" xfId="26" applyNumberFormat="1" applyFont="1" applyFill="1" applyAlignment="1" applyProtection="1">
      <alignment horizontal="left"/>
    </xf>
    <xf numFmtId="173" fontId="2" fillId="3" borderId="0" xfId="3" applyNumberFormat="1" applyFont="1" applyFill="1" applyAlignment="1">
      <alignment horizontal="right"/>
    </xf>
    <xf numFmtId="173" fontId="26" fillId="3" borderId="0" xfId="26" applyNumberFormat="1" applyFont="1" applyFill="1" applyAlignment="1" applyProtection="1">
      <alignment horizontal="left"/>
    </xf>
    <xf numFmtId="164" fontId="26" fillId="4" borderId="0" xfId="26" applyFont="1" applyFill="1"/>
    <xf numFmtId="173" fontId="26" fillId="4" borderId="0" xfId="3" applyNumberFormat="1" applyFont="1" applyFill="1" applyAlignment="1">
      <alignment horizontal="right"/>
    </xf>
    <xf numFmtId="164" fontId="2" fillId="4" borderId="0" xfId="26" applyFont="1" applyFill="1"/>
    <xf numFmtId="173" fontId="26" fillId="4" borderId="0" xfId="26" applyNumberFormat="1" applyFont="1" applyFill="1" applyAlignment="1" applyProtection="1">
      <alignment horizontal="left"/>
    </xf>
    <xf numFmtId="164" fontId="26" fillId="2" borderId="0" xfId="26" applyFont="1" applyFill="1"/>
    <xf numFmtId="173" fontId="26" fillId="2" borderId="0" xfId="3" applyNumberFormat="1" applyFont="1" applyFill="1" applyAlignment="1">
      <alignment horizontal="right"/>
    </xf>
    <xf numFmtId="164" fontId="2" fillId="2" borderId="0" xfId="26" applyFont="1" applyFill="1"/>
    <xf numFmtId="173" fontId="26" fillId="2" borderId="0" xfId="26" applyNumberFormat="1" applyFont="1" applyFill="1" applyAlignment="1" applyProtection="1">
      <alignment horizontal="left"/>
    </xf>
    <xf numFmtId="15" fontId="26" fillId="3" borderId="0" xfId="29" applyNumberFormat="1" applyFont="1" applyFill="1" applyBorder="1" applyAlignment="1">
      <alignment horizontal="center" wrapText="1"/>
    </xf>
    <xf numFmtId="167" fontId="2" fillId="3" borderId="0" xfId="1" applyNumberFormat="1" applyFont="1" applyFill="1" applyBorder="1" applyAlignment="1">
      <alignment horizontal="left"/>
    </xf>
    <xf numFmtId="167" fontId="2" fillId="3" borderId="0" xfId="1" applyNumberFormat="1" applyFont="1" applyFill="1" applyProtection="1">
      <protection locked="0"/>
    </xf>
    <xf numFmtId="167" fontId="2" fillId="2" borderId="0" xfId="1" applyNumberFormat="1" applyFont="1" applyFill="1" applyProtection="1">
      <protection locked="0"/>
    </xf>
    <xf numFmtId="167" fontId="2" fillId="3" borderId="0" xfId="1" applyNumberFormat="1" applyFont="1" applyFill="1" applyAlignment="1">
      <alignment horizontal="left"/>
    </xf>
    <xf numFmtId="167" fontId="2" fillId="3" borderId="0" xfId="1" applyNumberFormat="1" applyFont="1" applyFill="1" applyAlignment="1" applyProtection="1">
      <alignment horizontal="left"/>
    </xf>
    <xf numFmtId="10" fontId="2" fillId="3" borderId="0" xfId="3" applyNumberFormat="1" applyFont="1" applyFill="1"/>
    <xf numFmtId="43" fontId="2" fillId="3" borderId="7" xfId="1" applyFont="1" applyFill="1" applyBorder="1" applyProtection="1"/>
    <xf numFmtId="167" fontId="26" fillId="2" borderId="0" xfId="1" applyNumberFormat="1" applyFont="1" applyFill="1" applyProtection="1"/>
    <xf numFmtId="39" fontId="2" fillId="3" borderId="0" xfId="26" applyNumberFormat="1" applyFont="1" applyFill="1"/>
    <xf numFmtId="37" fontId="2" fillId="3" borderId="0" xfId="2" applyNumberFormat="1" applyFont="1" applyFill="1" applyAlignment="1" applyProtection="1">
      <alignment horizontal="left"/>
    </xf>
    <xf numFmtId="37" fontId="2" fillId="3" borderId="0" xfId="2" applyNumberFormat="1" applyFont="1" applyFill="1" applyBorder="1" applyAlignment="1">
      <alignment horizontal="left"/>
    </xf>
    <xf numFmtId="37" fontId="2" fillId="3" borderId="0" xfId="2" applyNumberFormat="1" applyFont="1" applyFill="1"/>
    <xf numFmtId="167" fontId="2" fillId="0" borderId="2" xfId="1" applyNumberFormat="1" applyFont="1" applyFill="1" applyBorder="1" applyProtection="1"/>
    <xf numFmtId="167" fontId="0" fillId="3" borderId="0" xfId="1" applyNumberFormat="1" applyFont="1" applyFill="1" applyBorder="1" applyProtection="1"/>
    <xf numFmtId="167" fontId="2" fillId="2" borderId="7" xfId="1" applyNumberFormat="1" applyFont="1" applyFill="1" applyBorder="1" applyAlignment="1" applyProtection="1">
      <alignment horizontal="right"/>
    </xf>
    <xf numFmtId="41" fontId="2" fillId="2" borderId="0" xfId="26" applyNumberFormat="1" applyFont="1" applyFill="1" applyAlignment="1" applyProtection="1">
      <alignment horizontal="left"/>
    </xf>
    <xf numFmtId="164" fontId="2" fillId="2" borderId="0" xfId="26" applyFont="1" applyFill="1" applyAlignment="1">
      <alignment horizontal="left"/>
    </xf>
    <xf numFmtId="167" fontId="2" fillId="2" borderId="0" xfId="1" applyNumberFormat="1" applyFont="1" applyFill="1" applyBorder="1" applyAlignment="1" applyProtection="1">
      <alignment horizontal="right"/>
    </xf>
    <xf numFmtId="167" fontId="2" fillId="2" borderId="0" xfId="1" applyNumberFormat="1" applyFont="1" applyFill="1" applyBorder="1" applyProtection="1"/>
    <xf numFmtId="166" fontId="26" fillId="2" borderId="0" xfId="21" applyNumberFormat="1" applyFont="1" applyFill="1" applyAlignment="1" applyProtection="1">
      <alignment horizontal="left"/>
    </xf>
    <xf numFmtId="167" fontId="2" fillId="2" borderId="2" xfId="1" applyNumberFormat="1" applyFont="1" applyFill="1" applyBorder="1" applyProtection="1"/>
    <xf numFmtId="41" fontId="26" fillId="2" borderId="0" xfId="26" applyNumberFormat="1" applyFont="1" applyFill="1" applyAlignment="1" applyProtection="1">
      <alignment horizontal="left"/>
    </xf>
    <xf numFmtId="166" fontId="2" fillId="2" borderId="3" xfId="2" applyNumberFormat="1" applyFont="1" applyFill="1" applyBorder="1" applyProtection="1"/>
    <xf numFmtId="164" fontId="8" fillId="3" borderId="0" xfId="0" applyFont="1" applyFill="1" applyAlignment="1">
      <alignment horizontal="left" indent="1"/>
    </xf>
    <xf numFmtId="164" fontId="8" fillId="3" borderId="0" xfId="0" applyFont="1" applyFill="1" applyAlignment="1">
      <alignment horizontal="left" indent="2"/>
    </xf>
    <xf numFmtId="167" fontId="7" fillId="2" borderId="2" xfId="1" applyNumberFormat="1" applyFont="1" applyFill="1" applyBorder="1" applyProtection="1"/>
    <xf numFmtId="167" fontId="8" fillId="2" borderId="2" xfId="1" applyNumberFormat="1" applyFont="1" applyFill="1" applyBorder="1" applyProtection="1"/>
    <xf numFmtId="179" fontId="8" fillId="2" borderId="0" xfId="5" applyNumberFormat="1" applyFont="1" applyFill="1"/>
    <xf numFmtId="0" fontId="3" fillId="2" borderId="1" xfId="6" applyFont="1" applyFill="1" applyBorder="1" applyAlignment="1" applyProtection="1">
      <alignment horizontal="center" vertical="top"/>
      <protection locked="0"/>
    </xf>
    <xf numFmtId="164" fontId="4" fillId="2" borderId="0" xfId="5" quotePrefix="1" applyFont="1" applyFill="1" applyBorder="1" applyAlignment="1">
      <alignment horizontal="left" wrapText="1"/>
    </xf>
    <xf numFmtId="0" fontId="7" fillId="2" borderId="1" xfId="6" applyFont="1" applyFill="1" applyBorder="1" applyAlignment="1" applyProtection="1">
      <alignment horizontal="center" vertical="top"/>
      <protection locked="0"/>
    </xf>
    <xf numFmtId="49" fontId="7" fillId="2" borderId="1" xfId="0" applyNumberFormat="1" applyFont="1" applyFill="1" applyBorder="1" applyAlignment="1" applyProtection="1">
      <alignment horizontal="center"/>
    </xf>
    <xf numFmtId="0" fontId="7" fillId="3" borderId="1" xfId="6" applyFont="1" applyFill="1" applyBorder="1" applyAlignment="1" applyProtection="1">
      <alignment horizontal="center" vertical="top"/>
      <protection locked="0"/>
    </xf>
    <xf numFmtId="0" fontId="13" fillId="2" borderId="1" xfId="6" applyFont="1" applyFill="1" applyBorder="1" applyAlignment="1" applyProtection="1">
      <alignment horizontal="center"/>
      <protection locked="0"/>
    </xf>
    <xf numFmtId="164" fontId="26" fillId="3" borderId="1" xfId="26" applyFont="1" applyFill="1" applyBorder="1" applyAlignment="1">
      <alignment horizontal="center"/>
    </xf>
    <xf numFmtId="164" fontId="26" fillId="0" borderId="1" xfId="26" applyFont="1" applyFill="1" applyBorder="1" applyAlignment="1">
      <alignment horizontal="center"/>
    </xf>
    <xf numFmtId="164" fontId="0" fillId="2" borderId="0" xfId="5" quotePrefix="1" applyFont="1" applyFill="1" applyBorder="1" applyAlignment="1">
      <alignment horizontal="left" wrapText="1"/>
    </xf>
    <xf numFmtId="164" fontId="2" fillId="2" borderId="0" xfId="5" quotePrefix="1" applyFont="1" applyFill="1" applyBorder="1" applyAlignment="1">
      <alignment horizontal="left" wrapText="1"/>
    </xf>
    <xf numFmtId="164" fontId="0" fillId="0" borderId="0" xfId="0" applyAlignment="1">
      <alignment wrapText="1"/>
    </xf>
  </cellXfs>
  <cellStyles count="30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_2-3_Income12_99" xfId="9"/>
    <cellStyle name="Normal_3a1Space" xfId="6"/>
    <cellStyle name="Normal_3a1Space 2" xfId="29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M62"/>
  <sheetViews>
    <sheetView tabSelected="1" topLeftCell="A13" zoomScale="60" zoomScaleNormal="60" zoomScaleSheetLayoutView="50" workbookViewId="0">
      <selection activeCell="E68" sqref="E68"/>
    </sheetView>
  </sheetViews>
  <sheetFormatPr defaultColWidth="7.109375" defaultRowHeight="18.75" x14ac:dyDescent="0.25"/>
  <cols>
    <col min="1" max="1" width="71.88671875" style="4" customWidth="1"/>
    <col min="2" max="2" width="8.109375" style="38" customWidth="1"/>
    <col min="3" max="3" width="17.77734375" style="4" customWidth="1"/>
    <col min="4" max="4" width="3.88671875" style="4" customWidth="1"/>
    <col min="5" max="5" width="17.77734375" style="4" customWidth="1"/>
    <col min="6" max="6" width="7.88671875" style="4" customWidth="1"/>
    <col min="7" max="7" width="17.77734375" style="4" customWidth="1"/>
    <col min="8" max="8" width="3.88671875" style="4" customWidth="1"/>
    <col min="9" max="9" width="17.77734375" style="4" customWidth="1"/>
    <col min="10" max="20" width="7.109375" style="4"/>
    <col min="21" max="21" width="36.6640625" style="4" customWidth="1"/>
    <col min="22" max="16384" width="7.109375" style="4"/>
  </cols>
  <sheetData>
    <row r="1" spans="1:9" ht="19.5" x14ac:dyDescent="0.3">
      <c r="A1" s="1" t="s">
        <v>0</v>
      </c>
      <c r="B1" s="2"/>
      <c r="C1" s="3"/>
      <c r="D1" s="3"/>
      <c r="E1" s="3"/>
    </row>
    <row r="2" spans="1:9" ht="22.5" x14ac:dyDescent="0.3">
      <c r="A2" s="1" t="s">
        <v>172</v>
      </c>
      <c r="B2" s="2"/>
      <c r="C2" s="6"/>
      <c r="D2" s="6"/>
      <c r="E2" s="6"/>
    </row>
    <row r="3" spans="1:9" ht="19.5" x14ac:dyDescent="0.3">
      <c r="A3" s="1" t="s">
        <v>1</v>
      </c>
      <c r="B3" s="2"/>
      <c r="C3" s="3"/>
      <c r="D3" s="3"/>
      <c r="E3" s="3"/>
    </row>
    <row r="4" spans="1:9" ht="19.5" x14ac:dyDescent="0.3">
      <c r="A4" s="1"/>
      <c r="B4" s="2"/>
      <c r="C4" s="3"/>
      <c r="D4" s="3"/>
      <c r="E4" s="3"/>
    </row>
    <row r="5" spans="1:9" ht="20.25" thickBot="1" x14ac:dyDescent="0.35">
      <c r="A5" s="1"/>
      <c r="B5" s="2"/>
      <c r="C5" s="399" t="s">
        <v>160</v>
      </c>
      <c r="D5" s="399"/>
      <c r="E5" s="399"/>
      <c r="G5" s="399" t="s">
        <v>161</v>
      </c>
      <c r="H5" s="399"/>
      <c r="I5" s="399"/>
    </row>
    <row r="6" spans="1:9" ht="8.25" customHeight="1" x14ac:dyDescent="0.3">
      <c r="A6" s="7"/>
      <c r="B6" s="2"/>
      <c r="C6" s="8"/>
      <c r="D6" s="8"/>
      <c r="E6" s="8"/>
      <c r="G6" s="8"/>
      <c r="H6" s="8"/>
      <c r="I6" s="8"/>
    </row>
    <row r="7" spans="1:9" s="11" customFormat="1" ht="39" x14ac:dyDescent="0.3">
      <c r="A7" s="7"/>
      <c r="B7" s="9"/>
      <c r="C7" s="236" t="s">
        <v>162</v>
      </c>
      <c r="D7" s="10"/>
      <c r="E7" s="236" t="s">
        <v>163</v>
      </c>
      <c r="G7" s="236" t="s">
        <v>162</v>
      </c>
      <c r="H7" s="10"/>
      <c r="I7" s="236" t="s">
        <v>163</v>
      </c>
    </row>
    <row r="8" spans="1:9" ht="19.5" x14ac:dyDescent="0.3">
      <c r="A8" s="7"/>
      <c r="B8" s="2"/>
      <c r="C8" s="3"/>
      <c r="D8" s="3"/>
      <c r="E8" s="3"/>
      <c r="G8" s="3"/>
      <c r="H8" s="3"/>
      <c r="I8" s="3"/>
    </row>
    <row r="9" spans="1:9" ht="19.5" x14ac:dyDescent="0.3">
      <c r="A9" s="1" t="s">
        <v>2</v>
      </c>
      <c r="B9" s="12"/>
      <c r="C9" s="13">
        <v>13752</v>
      </c>
      <c r="D9" s="14"/>
      <c r="E9" s="256">
        <f>I9-29016</f>
        <v>11520</v>
      </c>
      <c r="G9" s="13">
        <v>47248</v>
      </c>
      <c r="H9" s="14"/>
      <c r="I9" s="256">
        <v>40536</v>
      </c>
    </row>
    <row r="10" spans="1:9" ht="7.5" customHeight="1" x14ac:dyDescent="0.3">
      <c r="A10" s="15"/>
      <c r="B10" s="12"/>
      <c r="C10" s="16"/>
      <c r="D10" s="14"/>
      <c r="E10" s="17"/>
      <c r="G10" s="16"/>
      <c r="H10" s="14"/>
      <c r="I10" s="17"/>
    </row>
    <row r="11" spans="1:9" ht="19.5" x14ac:dyDescent="0.3">
      <c r="A11" s="1" t="s">
        <v>157</v>
      </c>
      <c r="B11" s="12"/>
      <c r="C11" s="18">
        <v>-12399</v>
      </c>
      <c r="D11" s="14"/>
      <c r="E11" s="257">
        <f>I11+25661</f>
        <v>-10383</v>
      </c>
      <c r="G11" s="18">
        <v>-42186</v>
      </c>
      <c r="H11" s="14"/>
      <c r="I11" s="257">
        <v>-36044</v>
      </c>
    </row>
    <row r="12" spans="1:9" ht="7.5" customHeight="1" x14ac:dyDescent="0.3">
      <c r="A12" s="3"/>
      <c r="B12" s="12"/>
      <c r="C12" s="16"/>
      <c r="D12" s="17"/>
      <c r="E12" s="17"/>
      <c r="G12" s="16"/>
      <c r="H12" s="17"/>
      <c r="I12" s="17"/>
    </row>
    <row r="13" spans="1:9" ht="19.5" x14ac:dyDescent="0.3">
      <c r="A13" s="3" t="s">
        <v>3</v>
      </c>
      <c r="B13" s="12"/>
      <c r="C13" s="19">
        <f>C9+C11</f>
        <v>1353</v>
      </c>
      <c r="D13" s="20"/>
      <c r="E13" s="258">
        <f>E9+E11</f>
        <v>1137</v>
      </c>
      <c r="G13" s="19">
        <f>G9+G11</f>
        <v>5062</v>
      </c>
      <c r="H13" s="20"/>
      <c r="I13" s="258">
        <f>I9+I11</f>
        <v>4492</v>
      </c>
    </row>
    <row r="14" spans="1:9" ht="7.5" customHeight="1" x14ac:dyDescent="0.3">
      <c r="A14" s="3"/>
      <c r="B14" s="12"/>
      <c r="C14" s="21"/>
      <c r="D14" s="20"/>
      <c r="E14" s="20"/>
      <c r="G14" s="21"/>
      <c r="H14" s="20"/>
      <c r="I14" s="20"/>
    </row>
    <row r="15" spans="1:9" ht="19.5" x14ac:dyDescent="0.3">
      <c r="A15" s="3" t="s">
        <v>181</v>
      </c>
      <c r="B15" s="12"/>
      <c r="C15" s="18">
        <v>75</v>
      </c>
      <c r="D15" s="20"/>
      <c r="E15" s="257">
        <f>I15-257</f>
        <v>-37</v>
      </c>
      <c r="G15" s="18">
        <v>487</v>
      </c>
      <c r="H15" s="20"/>
      <c r="I15" s="257">
        <v>220</v>
      </c>
    </row>
    <row r="16" spans="1:9" ht="7.5" customHeight="1" x14ac:dyDescent="0.3">
      <c r="A16" s="3"/>
      <c r="B16" s="12"/>
      <c r="C16" s="21"/>
      <c r="D16" s="20"/>
      <c r="E16" s="20"/>
      <c r="G16" s="21"/>
      <c r="H16" s="20"/>
      <c r="I16" s="20"/>
    </row>
    <row r="17" spans="1:10" ht="26.25" x14ac:dyDescent="0.4">
      <c r="A17" s="1" t="s">
        <v>173</v>
      </c>
      <c r="B17" s="12"/>
      <c r="C17" s="19">
        <f>+C13+C15</f>
        <v>1428</v>
      </c>
      <c r="D17" s="20"/>
      <c r="E17" s="258">
        <f>I17-3612</f>
        <v>1100</v>
      </c>
      <c r="G17" s="19">
        <f>G13+G15</f>
        <v>5549</v>
      </c>
      <c r="H17" s="20"/>
      <c r="I17" s="258">
        <f>I13+I15</f>
        <v>4712</v>
      </c>
    </row>
    <row r="18" spans="1:10" ht="7.5" customHeight="1" x14ac:dyDescent="0.3">
      <c r="A18" s="3"/>
      <c r="B18" s="12"/>
      <c r="C18" s="19"/>
      <c r="D18" s="20"/>
      <c r="E18" s="258"/>
      <c r="G18" s="19"/>
      <c r="H18" s="20"/>
      <c r="I18" s="258"/>
    </row>
    <row r="19" spans="1:10" ht="19.5" x14ac:dyDescent="0.3">
      <c r="A19" s="15" t="s">
        <v>4</v>
      </c>
      <c r="B19" s="12"/>
      <c r="C19" s="19">
        <v>-171</v>
      </c>
      <c r="D19" s="20"/>
      <c r="E19" s="258">
        <f>I19+301</f>
        <v>-142</v>
      </c>
      <c r="G19" s="19">
        <v>-663</v>
      </c>
      <c r="H19" s="20"/>
      <c r="I19" s="258">
        <v>-443</v>
      </c>
    </row>
    <row r="20" spans="1:10" ht="7.5" customHeight="1" x14ac:dyDescent="0.3">
      <c r="A20" s="3"/>
      <c r="B20" s="12"/>
      <c r="C20" s="19"/>
      <c r="D20" s="20"/>
      <c r="E20" s="258"/>
      <c r="G20" s="19"/>
      <c r="H20" s="20"/>
      <c r="I20" s="258"/>
    </row>
    <row r="21" spans="1:10" ht="19.5" x14ac:dyDescent="0.3">
      <c r="A21" s="22" t="s">
        <v>175</v>
      </c>
      <c r="B21" s="12"/>
      <c r="C21" s="18">
        <v>-2</v>
      </c>
      <c r="D21" s="20"/>
      <c r="E21" s="257">
        <f>I21-6</f>
        <v>24</v>
      </c>
      <c r="G21" s="18">
        <v>0</v>
      </c>
      <c r="H21" s="20"/>
      <c r="I21" s="257">
        <v>30</v>
      </c>
    </row>
    <row r="22" spans="1:10" ht="7.5" customHeight="1" x14ac:dyDescent="0.3">
      <c r="A22" s="3"/>
      <c r="B22" s="12"/>
      <c r="C22" s="19"/>
      <c r="D22" s="20"/>
      <c r="E22" s="258"/>
      <c r="G22" s="19"/>
      <c r="H22" s="20"/>
      <c r="I22" s="258"/>
    </row>
    <row r="23" spans="1:10" ht="19.5" x14ac:dyDescent="0.3">
      <c r="A23" s="15" t="s">
        <v>128</v>
      </c>
      <c r="B23" s="12"/>
      <c r="C23" s="19">
        <f>C17+C19+C21</f>
        <v>1255</v>
      </c>
      <c r="D23" s="20"/>
      <c r="E23" s="258">
        <f>I23-3317</f>
        <v>982</v>
      </c>
      <c r="G23" s="19">
        <f>G17+G19+G21</f>
        <v>4886</v>
      </c>
      <c r="H23" s="20"/>
      <c r="I23" s="258">
        <f>I17+I19+I21</f>
        <v>4299</v>
      </c>
    </row>
    <row r="24" spans="1:10" ht="7.5" customHeight="1" x14ac:dyDescent="0.3">
      <c r="A24" s="3"/>
      <c r="B24" s="12"/>
      <c r="C24" s="237"/>
      <c r="D24" s="20"/>
      <c r="E24" s="258"/>
      <c r="G24" s="237"/>
      <c r="H24" s="20"/>
      <c r="I24" s="259"/>
    </row>
    <row r="25" spans="1:10" ht="25.5" x14ac:dyDescent="0.35">
      <c r="A25" s="15" t="s">
        <v>176</v>
      </c>
      <c r="B25" s="12"/>
      <c r="C25" s="18">
        <v>-296</v>
      </c>
      <c r="D25" s="20"/>
      <c r="E25" s="257">
        <f>I25+1008</f>
        <v>-165</v>
      </c>
      <c r="G25" s="18">
        <v>-1133</v>
      </c>
      <c r="H25" s="20"/>
      <c r="I25" s="257">
        <v>-1173</v>
      </c>
    </row>
    <row r="26" spans="1:10" ht="7.5" customHeight="1" x14ac:dyDescent="0.3">
      <c r="A26" s="3"/>
      <c r="B26" s="12"/>
      <c r="C26" s="21"/>
      <c r="D26" s="20"/>
      <c r="E26" s="20"/>
      <c r="G26" s="21"/>
      <c r="H26" s="20"/>
      <c r="I26" s="20"/>
    </row>
    <row r="27" spans="1:10" ht="25.5" x14ac:dyDescent="0.35">
      <c r="A27" s="15" t="s">
        <v>177</v>
      </c>
      <c r="B27" s="12"/>
      <c r="C27" s="23">
        <f>C23+C25</f>
        <v>959</v>
      </c>
      <c r="D27" s="20"/>
      <c r="E27" s="260">
        <f>I27-2309</f>
        <v>817</v>
      </c>
      <c r="G27" s="23">
        <f>G23+G25</f>
        <v>3753</v>
      </c>
      <c r="H27" s="20"/>
      <c r="I27" s="260">
        <f>I23+I25</f>
        <v>3126</v>
      </c>
    </row>
    <row r="28" spans="1:10" ht="19.5" x14ac:dyDescent="0.3">
      <c r="A28" s="15" t="s">
        <v>158</v>
      </c>
      <c r="B28" s="12"/>
      <c r="C28" s="18">
        <v>29</v>
      </c>
      <c r="D28" s="14"/>
      <c r="E28" s="257">
        <f>I28-363</f>
        <v>116</v>
      </c>
      <c r="G28" s="18">
        <v>1549</v>
      </c>
      <c r="H28" s="14"/>
      <c r="I28" s="257">
        <v>479</v>
      </c>
    </row>
    <row r="29" spans="1:10" ht="7.5" customHeight="1" x14ac:dyDescent="0.3">
      <c r="A29" s="3"/>
      <c r="B29" s="12"/>
      <c r="C29" s="16"/>
      <c r="D29" s="17"/>
      <c r="E29" s="17"/>
      <c r="G29" s="16"/>
      <c r="H29" s="17"/>
      <c r="I29" s="17"/>
    </row>
    <row r="30" spans="1:10" ht="27" thickBot="1" x14ac:dyDescent="0.45">
      <c r="A30" s="7" t="s">
        <v>174</v>
      </c>
      <c r="B30" s="12"/>
      <c r="C30" s="24">
        <f>C27+C28</f>
        <v>988</v>
      </c>
      <c r="D30" s="17"/>
      <c r="E30" s="261">
        <f>I30-2672</f>
        <v>933</v>
      </c>
      <c r="G30" s="24">
        <f>G27+G28</f>
        <v>5302</v>
      </c>
      <c r="H30" s="17"/>
      <c r="I30" s="261">
        <f>I27+I28</f>
        <v>3605</v>
      </c>
    </row>
    <row r="31" spans="1:10" ht="7.5" customHeight="1" thickTop="1" x14ac:dyDescent="0.3">
      <c r="A31" s="3"/>
      <c r="B31" s="12"/>
      <c r="C31" s="16"/>
      <c r="D31" s="17"/>
      <c r="E31" s="17"/>
      <c r="G31" s="16"/>
      <c r="H31" s="17"/>
      <c r="I31" s="17"/>
    </row>
    <row r="32" spans="1:10" ht="20.25" thickBot="1" x14ac:dyDescent="0.35">
      <c r="A32" s="15" t="s">
        <v>5</v>
      </c>
      <c r="B32" s="12"/>
      <c r="C32" s="25">
        <v>23.6</v>
      </c>
      <c r="D32" s="26" t="s">
        <v>6</v>
      </c>
      <c r="E32" s="262">
        <f>-(E25/E23)*100</f>
        <v>16.802443991853362</v>
      </c>
      <c r="F32" s="4" t="s">
        <v>6</v>
      </c>
      <c r="G32" s="25">
        <v>23.2</v>
      </c>
      <c r="H32" s="26" t="s">
        <v>6</v>
      </c>
      <c r="I32" s="293">
        <f>-(I25/I23)*100</f>
        <v>27.285415212840196</v>
      </c>
      <c r="J32" s="238" t="s">
        <v>6</v>
      </c>
    </row>
    <row r="33" spans="1:13" ht="7.5" customHeight="1" thickTop="1" x14ac:dyDescent="0.3">
      <c r="A33" s="3"/>
      <c r="B33" s="12"/>
      <c r="C33" s="27"/>
      <c r="D33" s="28"/>
      <c r="E33" s="28"/>
      <c r="G33" s="27"/>
      <c r="H33" s="28"/>
      <c r="I33" s="28"/>
    </row>
    <row r="34" spans="1:13" ht="19.5" x14ac:dyDescent="0.3">
      <c r="A34" s="29" t="s">
        <v>127</v>
      </c>
      <c r="B34" s="12"/>
      <c r="C34" s="27"/>
      <c r="D34" s="28"/>
      <c r="E34" s="28"/>
      <c r="G34" s="27"/>
      <c r="H34" s="28"/>
      <c r="I34" s="28"/>
    </row>
    <row r="35" spans="1:13" x14ac:dyDescent="0.25">
      <c r="A35" s="30" t="s">
        <v>7</v>
      </c>
      <c r="B35" s="31"/>
      <c r="C35" s="280"/>
      <c r="D35" s="32"/>
      <c r="E35" s="280"/>
      <c r="G35" s="280"/>
      <c r="H35" s="32"/>
      <c r="I35" s="280"/>
    </row>
    <row r="36" spans="1:13" ht="25.5" x14ac:dyDescent="0.35">
      <c r="A36" s="15" t="s">
        <v>178</v>
      </c>
      <c r="B36" s="31"/>
      <c r="C36" s="281">
        <v>3.29</v>
      </c>
      <c r="D36" s="32"/>
      <c r="E36" s="280">
        <v>2.67</v>
      </c>
      <c r="G36" s="281">
        <v>12.54</v>
      </c>
      <c r="H36" s="32"/>
      <c r="I36" s="280">
        <v>10.07</v>
      </c>
    </row>
    <row r="37" spans="1:13" ht="19.5" x14ac:dyDescent="0.3">
      <c r="A37" s="30" t="s">
        <v>133</v>
      </c>
      <c r="B37" s="31"/>
      <c r="C37" s="285">
        <v>0.1</v>
      </c>
      <c r="D37" s="32"/>
      <c r="E37" s="282">
        <v>0.38</v>
      </c>
      <c r="G37" s="284">
        <v>5.17</v>
      </c>
      <c r="H37" s="32"/>
      <c r="I37" s="282">
        <v>1.55</v>
      </c>
    </row>
    <row r="38" spans="1:13" ht="20.25" thickBot="1" x14ac:dyDescent="0.35">
      <c r="A38" s="30" t="s">
        <v>121</v>
      </c>
      <c r="B38" s="31"/>
      <c r="C38" s="223">
        <f>SUM(C36:C37)</f>
        <v>3.39</v>
      </c>
      <c r="D38" s="32"/>
      <c r="E38" s="263">
        <f>SUM(E36:E37)</f>
        <v>3.05</v>
      </c>
      <c r="G38" s="223">
        <f>SUM(G36:G37)</f>
        <v>17.71</v>
      </c>
      <c r="H38" s="32"/>
      <c r="I38" s="263">
        <f>SUM(I36:I37)</f>
        <v>11.620000000000001</v>
      </c>
    </row>
    <row r="39" spans="1:13" ht="20.25" thickTop="1" x14ac:dyDescent="0.3">
      <c r="A39" s="30"/>
      <c r="B39" s="31"/>
      <c r="C39" s="281"/>
      <c r="D39" s="32"/>
      <c r="E39" s="280"/>
      <c r="G39" s="281"/>
      <c r="H39" s="32"/>
      <c r="I39" s="280"/>
    </row>
    <row r="40" spans="1:13" ht="19.5" x14ac:dyDescent="0.3">
      <c r="A40" s="30" t="s">
        <v>9</v>
      </c>
      <c r="B40" s="31"/>
      <c r="C40" s="281"/>
      <c r="D40" s="32"/>
      <c r="E40" s="280"/>
      <c r="F40" s="5"/>
      <c r="G40" s="281"/>
      <c r="H40" s="32"/>
      <c r="I40" s="280"/>
    </row>
    <row r="41" spans="1:13" ht="24.6" customHeight="1" x14ac:dyDescent="0.3">
      <c r="A41" s="30" t="s">
        <v>120</v>
      </c>
      <c r="B41" s="31"/>
      <c r="C41" s="281">
        <v>3.25</v>
      </c>
      <c r="D41" s="32"/>
      <c r="E41" s="280">
        <v>2.63</v>
      </c>
      <c r="G41" s="281">
        <v>12.38</v>
      </c>
      <c r="H41" s="32"/>
      <c r="I41" s="280">
        <v>9.93</v>
      </c>
    </row>
    <row r="42" spans="1:13" ht="19.5" x14ac:dyDescent="0.3">
      <c r="A42" s="30" t="s">
        <v>133</v>
      </c>
      <c r="B42" s="31"/>
      <c r="C42" s="284">
        <v>0.1</v>
      </c>
      <c r="D42" s="32"/>
      <c r="E42" s="282">
        <v>0.38</v>
      </c>
      <c r="G42" s="284">
        <v>5.1100000000000003</v>
      </c>
      <c r="H42" s="32"/>
      <c r="I42" s="282">
        <v>1.53</v>
      </c>
    </row>
    <row r="43" spans="1:13" s="5" customFormat="1" ht="20.25" thickBot="1" x14ac:dyDescent="0.35">
      <c r="A43" s="30" t="s">
        <v>122</v>
      </c>
      <c r="B43" s="12"/>
      <c r="C43" s="223">
        <f>SUM(C41:C42)</f>
        <v>3.35</v>
      </c>
      <c r="D43" s="32"/>
      <c r="E43" s="263">
        <f>SUM(E41:E42)</f>
        <v>3.01</v>
      </c>
      <c r="F43" s="4"/>
      <c r="G43" s="223">
        <f>SUM(G41:G42)</f>
        <v>17.490000000000002</v>
      </c>
      <c r="H43" s="32"/>
      <c r="I43" s="263">
        <f>I41+I42</f>
        <v>11.459999999999999</v>
      </c>
      <c r="J43" s="4"/>
    </row>
    <row r="44" spans="1:13" s="5" customFormat="1" ht="20.25" thickTop="1" x14ac:dyDescent="0.3">
      <c r="A44" s="30"/>
      <c r="B44" s="12"/>
      <c r="C44" s="27"/>
      <c r="D44" s="28"/>
      <c r="E44" s="28"/>
      <c r="F44" s="4"/>
      <c r="G44" s="27"/>
      <c r="H44" s="28"/>
      <c r="I44" s="28"/>
      <c r="J44" s="4"/>
    </row>
    <row r="45" spans="1:13" s="5" customFormat="1" ht="19.5" x14ac:dyDescent="0.3">
      <c r="A45" s="1" t="s">
        <v>8</v>
      </c>
      <c r="B45" s="12"/>
      <c r="C45" s="33"/>
      <c r="D45" s="28"/>
      <c r="E45" s="34"/>
      <c r="F45" s="4"/>
      <c r="G45" s="33"/>
      <c r="H45" s="28"/>
      <c r="I45" s="34"/>
      <c r="J45" s="4"/>
    </row>
    <row r="46" spans="1:13" ht="19.5" x14ac:dyDescent="0.3">
      <c r="A46" s="15" t="s">
        <v>7</v>
      </c>
      <c r="B46" s="12"/>
      <c r="C46" s="33">
        <v>291.8</v>
      </c>
      <c r="D46" s="28"/>
      <c r="E46" s="34">
        <v>305.89999999999998</v>
      </c>
      <c r="G46" s="33">
        <v>299.3</v>
      </c>
      <c r="H46" s="28"/>
      <c r="I46" s="34">
        <v>310.3</v>
      </c>
      <c r="M46" s="5"/>
    </row>
    <row r="47" spans="1:13" ht="19.5" x14ac:dyDescent="0.3">
      <c r="A47" s="30" t="s">
        <v>9</v>
      </c>
      <c r="B47" s="3"/>
      <c r="C47" s="33">
        <v>295.2</v>
      </c>
      <c r="D47" s="34"/>
      <c r="E47" s="34">
        <v>310.2</v>
      </c>
      <c r="G47" s="33">
        <v>303.10000000000002</v>
      </c>
      <c r="H47" s="34"/>
      <c r="I47" s="34">
        <v>314.7</v>
      </c>
      <c r="M47" s="5"/>
    </row>
    <row r="48" spans="1:13" ht="19.5" x14ac:dyDescent="0.3">
      <c r="A48" s="3"/>
      <c r="B48" s="35"/>
      <c r="C48" s="36"/>
      <c r="D48" s="3"/>
      <c r="E48" s="6"/>
      <c r="G48" s="36"/>
      <c r="H48" s="3"/>
      <c r="I48" s="264"/>
      <c r="M48" s="5"/>
    </row>
    <row r="49" spans="1:9" ht="19.5" x14ac:dyDescent="0.3">
      <c r="A49" s="6" t="s">
        <v>10</v>
      </c>
      <c r="B49" s="2"/>
      <c r="C49" s="239"/>
      <c r="D49" s="6"/>
      <c r="E49" s="37"/>
      <c r="G49" s="239">
        <v>289</v>
      </c>
      <c r="H49" s="6"/>
      <c r="I49" s="37">
        <v>303</v>
      </c>
    </row>
    <row r="50" spans="1:9" ht="19.5" x14ac:dyDescent="0.3">
      <c r="A50" s="3"/>
      <c r="B50" s="35"/>
      <c r="C50" s="36"/>
      <c r="D50" s="3"/>
      <c r="E50" s="6"/>
    </row>
    <row r="51" spans="1:9" ht="18.75" customHeight="1" x14ac:dyDescent="0.25">
      <c r="A51" s="400" t="s">
        <v>171</v>
      </c>
      <c r="B51" s="400"/>
      <c r="C51" s="400"/>
      <c r="D51" s="400"/>
      <c r="E51" s="400"/>
      <c r="F51" s="400"/>
      <c r="G51" s="400"/>
      <c r="H51" s="400"/>
      <c r="I51" s="400"/>
    </row>
    <row r="52" spans="1:9" x14ac:dyDescent="0.25">
      <c r="A52" s="4" t="s">
        <v>182</v>
      </c>
    </row>
    <row r="53" spans="1:9" x14ac:dyDescent="0.25">
      <c r="A53" s="4" t="s">
        <v>183</v>
      </c>
    </row>
    <row r="55" spans="1:9" ht="18.75" customHeight="1" x14ac:dyDescent="0.25">
      <c r="A55" s="400" t="s">
        <v>170</v>
      </c>
      <c r="B55" s="400"/>
      <c r="C55" s="400"/>
      <c r="D55" s="400"/>
      <c r="E55" s="400"/>
      <c r="F55" s="400"/>
      <c r="G55" s="400"/>
      <c r="H55" s="400"/>
      <c r="I55" s="400"/>
    </row>
    <row r="56" spans="1:9" x14ac:dyDescent="0.25">
      <c r="A56" s="4" t="s">
        <v>147</v>
      </c>
    </row>
    <row r="57" spans="1:9" x14ac:dyDescent="0.25">
      <c r="A57" s="4" t="s">
        <v>179</v>
      </c>
    </row>
    <row r="59" spans="1:9" x14ac:dyDescent="0.25">
      <c r="A59" s="400" t="s">
        <v>226</v>
      </c>
      <c r="B59" s="400"/>
      <c r="C59" s="400"/>
      <c r="D59" s="400"/>
      <c r="E59" s="400"/>
      <c r="F59" s="400"/>
      <c r="G59" s="400"/>
      <c r="H59" s="400"/>
      <c r="I59" s="400"/>
    </row>
    <row r="60" spans="1:9" x14ac:dyDescent="0.25">
      <c r="A60" s="4" t="s">
        <v>227</v>
      </c>
    </row>
    <row r="61" spans="1:9" x14ac:dyDescent="0.25">
      <c r="A61" s="4" t="s">
        <v>229</v>
      </c>
    </row>
    <row r="62" spans="1:9" x14ac:dyDescent="0.25">
      <c r="A62" s="4" t="s">
        <v>228</v>
      </c>
    </row>
  </sheetData>
  <mergeCells count="5">
    <mergeCell ref="C5:E5"/>
    <mergeCell ref="G5:I5"/>
    <mergeCell ref="A59:I59"/>
    <mergeCell ref="A51:I51"/>
    <mergeCell ref="A55:I55"/>
  </mergeCells>
  <pageMargins left="0.75" right="0.2" top="0.25" bottom="0.35" header="0.25" footer="0.17"/>
  <pageSetup scale="47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54"/>
  <sheetViews>
    <sheetView zoomScale="55" zoomScaleNormal="55" zoomScaleSheetLayoutView="55" workbookViewId="0">
      <selection activeCell="A22" sqref="A22"/>
    </sheetView>
  </sheetViews>
  <sheetFormatPr defaultColWidth="8.88671875" defaultRowHeight="20.25" x14ac:dyDescent="0.3"/>
  <cols>
    <col min="1" max="1" width="48" style="40" customWidth="1"/>
    <col min="2" max="2" width="14.44140625" style="40" customWidth="1"/>
    <col min="3" max="3" width="13.44140625" style="40" customWidth="1"/>
    <col min="4" max="4" width="4" style="109" customWidth="1"/>
    <col min="5" max="5" width="13.44140625" style="40" customWidth="1"/>
    <col min="6" max="6" width="4" style="40" customWidth="1"/>
    <col min="7" max="7" width="2.21875" style="40" customWidth="1"/>
    <col min="8" max="8" width="7.88671875" style="110" customWidth="1"/>
    <col min="9" max="9" width="4" style="109" customWidth="1"/>
    <col min="10" max="10" width="5.44140625" style="40" customWidth="1"/>
    <col min="11" max="11" width="13.44140625" style="40" customWidth="1"/>
    <col min="12" max="12" width="4" style="109" customWidth="1"/>
    <col min="13" max="13" width="13.44140625" style="40" customWidth="1"/>
    <col min="14" max="14" width="4" style="40" customWidth="1"/>
    <col min="15" max="15" width="2.21875" style="40" customWidth="1"/>
    <col min="16" max="16" width="7.88671875" style="110" customWidth="1"/>
    <col min="17" max="17" width="4" style="109" customWidth="1"/>
    <col min="18" max="19" width="8.88671875" style="40"/>
    <col min="20" max="20" width="11.21875" style="40" bestFit="1" customWidth="1"/>
    <col min="21" max="21" width="8.88671875" style="40"/>
    <col min="22" max="22" width="11.77734375" style="40" bestFit="1" customWidth="1"/>
    <col min="23" max="16384" width="8.88671875" style="40"/>
  </cols>
  <sheetData>
    <row r="1" spans="1:17" x14ac:dyDescent="0.3">
      <c r="A1" s="39" t="s">
        <v>0</v>
      </c>
      <c r="C1" s="41"/>
      <c r="D1" s="42"/>
      <c r="E1" s="43"/>
      <c r="F1" s="44"/>
      <c r="G1" s="44"/>
      <c r="H1" s="45"/>
      <c r="I1" s="46"/>
      <c r="K1" s="41"/>
      <c r="L1" s="42"/>
      <c r="M1" s="43"/>
      <c r="N1" s="44"/>
      <c r="O1" s="44"/>
      <c r="P1" s="45"/>
      <c r="Q1" s="46"/>
    </row>
    <row r="2" spans="1:17" x14ac:dyDescent="0.3">
      <c r="A2" s="39" t="s">
        <v>11</v>
      </c>
      <c r="C2" s="41"/>
      <c r="D2" s="42"/>
      <c r="E2" s="43"/>
      <c r="F2" s="47"/>
      <c r="G2" s="47"/>
      <c r="H2" s="48"/>
      <c r="I2" s="49"/>
      <c r="K2" s="41"/>
      <c r="L2" s="42"/>
      <c r="M2" s="43"/>
      <c r="N2" s="47"/>
      <c r="O2" s="47"/>
      <c r="P2" s="48"/>
      <c r="Q2" s="49"/>
    </row>
    <row r="3" spans="1:17" x14ac:dyDescent="0.3">
      <c r="A3" s="39" t="s">
        <v>12</v>
      </c>
      <c r="C3" s="41"/>
      <c r="D3" s="42"/>
      <c r="E3" s="43"/>
      <c r="F3" s="47"/>
      <c r="G3" s="47"/>
      <c r="H3" s="48"/>
      <c r="I3" s="49"/>
      <c r="K3" s="41"/>
      <c r="L3" s="42"/>
      <c r="M3" s="43"/>
      <c r="N3" s="47"/>
      <c r="O3" s="47"/>
      <c r="P3" s="48"/>
      <c r="Q3" s="49"/>
    </row>
    <row r="4" spans="1:17" x14ac:dyDescent="0.3">
      <c r="A4" s="39"/>
      <c r="C4" s="41"/>
      <c r="D4" s="42"/>
      <c r="E4" s="43"/>
      <c r="F4" s="47"/>
      <c r="G4" s="47"/>
      <c r="H4" s="48"/>
      <c r="I4" s="49"/>
      <c r="K4" s="41"/>
      <c r="L4" s="42"/>
      <c r="M4" s="43"/>
      <c r="N4" s="47"/>
      <c r="O4" s="47"/>
      <c r="P4" s="48"/>
      <c r="Q4" s="49"/>
    </row>
    <row r="5" spans="1:17" ht="21" thickBot="1" x14ac:dyDescent="0.35">
      <c r="A5" s="50"/>
      <c r="C5" s="401" t="s">
        <v>114</v>
      </c>
      <c r="D5" s="401"/>
      <c r="E5" s="401"/>
      <c r="F5" s="51"/>
      <c r="G5" s="51"/>
      <c r="H5" s="52"/>
      <c r="I5" s="51"/>
      <c r="K5" s="401" t="s">
        <v>166</v>
      </c>
      <c r="L5" s="401"/>
      <c r="M5" s="401"/>
      <c r="N5" s="51"/>
      <c r="O5" s="51"/>
      <c r="P5" s="52"/>
      <c r="Q5" s="51"/>
    </row>
    <row r="6" spans="1:17" ht="49.5" customHeight="1" thickBot="1" x14ac:dyDescent="0.35">
      <c r="A6" s="53" t="s">
        <v>13</v>
      </c>
      <c r="C6" s="240" t="s">
        <v>162</v>
      </c>
      <c r="D6" s="241"/>
      <c r="E6" s="240" t="s">
        <v>163</v>
      </c>
      <c r="F6" s="55"/>
      <c r="H6" s="402" t="s">
        <v>14</v>
      </c>
      <c r="I6" s="402"/>
      <c r="K6" s="240" t="s">
        <v>162</v>
      </c>
      <c r="L6" s="241"/>
      <c r="M6" s="240" t="s">
        <v>163</v>
      </c>
      <c r="N6" s="55"/>
      <c r="P6" s="402" t="s">
        <v>14</v>
      </c>
      <c r="Q6" s="402"/>
    </row>
    <row r="7" spans="1:17" ht="21.75" customHeight="1" x14ac:dyDescent="0.3">
      <c r="A7" s="56" t="s">
        <v>15</v>
      </c>
      <c r="C7" s="57"/>
      <c r="D7" s="58"/>
      <c r="E7" s="57"/>
      <c r="F7" s="44"/>
      <c r="G7" s="44"/>
      <c r="H7" s="45"/>
      <c r="I7" s="46"/>
      <c r="K7" s="57"/>
      <c r="L7" s="58"/>
      <c r="M7" s="57"/>
      <c r="N7" s="44"/>
      <c r="O7" s="44"/>
      <c r="P7" s="45"/>
      <c r="Q7" s="46"/>
    </row>
    <row r="8" spans="1:17" s="60" customFormat="1" ht="21.75" customHeight="1" x14ac:dyDescent="0.3">
      <c r="A8" s="59" t="s">
        <v>16</v>
      </c>
      <c r="C8" s="61">
        <v>5407</v>
      </c>
      <c r="D8" s="62"/>
      <c r="E8" s="265">
        <f>M8-11186</f>
        <v>4384</v>
      </c>
      <c r="F8" s="63"/>
      <c r="G8" s="63"/>
      <c r="H8" s="64">
        <v>23</v>
      </c>
      <c r="I8" s="65" t="s">
        <v>6</v>
      </c>
      <c r="K8" s="61">
        <v>17769</v>
      </c>
      <c r="L8" s="62"/>
      <c r="M8" s="265">
        <v>15570</v>
      </c>
      <c r="N8" s="63"/>
      <c r="O8" s="63"/>
      <c r="P8" s="64">
        <v>14</v>
      </c>
      <c r="Q8" s="65" t="s">
        <v>6</v>
      </c>
    </row>
    <row r="9" spans="1:17" s="60" customFormat="1" ht="21.75" customHeight="1" x14ac:dyDescent="0.3">
      <c r="A9" s="59" t="s">
        <v>17</v>
      </c>
      <c r="C9" s="66">
        <v>1757</v>
      </c>
      <c r="D9" s="62"/>
      <c r="E9" s="266">
        <f>M9-4801</f>
        <v>1969</v>
      </c>
      <c r="F9" s="63"/>
      <c r="G9" s="63"/>
      <c r="H9" s="64">
        <v>-11</v>
      </c>
      <c r="I9" s="65" t="s">
        <v>6</v>
      </c>
      <c r="K9" s="66">
        <v>6608</v>
      </c>
      <c r="L9" s="62"/>
      <c r="M9" s="266">
        <v>6770</v>
      </c>
      <c r="N9" s="63"/>
      <c r="O9" s="63"/>
      <c r="P9" s="64">
        <v>-2</v>
      </c>
      <c r="Q9" s="65" t="s">
        <v>6</v>
      </c>
    </row>
    <row r="10" spans="1:17" s="60" customFormat="1" ht="21.75" customHeight="1" x14ac:dyDescent="0.3">
      <c r="A10" s="59" t="s">
        <v>123</v>
      </c>
      <c r="C10" s="66">
        <v>3809</v>
      </c>
      <c r="D10" s="62"/>
      <c r="E10" s="266">
        <f>M10-6306</f>
        <v>2785</v>
      </c>
      <c r="F10" s="63"/>
      <c r="G10" s="63"/>
      <c r="H10" s="64">
        <v>37</v>
      </c>
      <c r="I10" s="65" t="s">
        <v>6</v>
      </c>
      <c r="K10" s="66">
        <v>13462</v>
      </c>
      <c r="L10" s="62"/>
      <c r="M10" s="266">
        <v>9091</v>
      </c>
      <c r="N10" s="63"/>
      <c r="O10" s="63"/>
      <c r="P10" s="64">
        <v>48</v>
      </c>
      <c r="Q10" s="65" t="s">
        <v>6</v>
      </c>
    </row>
    <row r="11" spans="1:17" ht="21.75" customHeight="1" x14ac:dyDescent="0.3">
      <c r="A11" s="49" t="s">
        <v>18</v>
      </c>
      <c r="C11" s="67">
        <v>2779</v>
      </c>
      <c r="D11" s="68"/>
      <c r="E11" s="267">
        <f>M11-6723</f>
        <v>2382</v>
      </c>
      <c r="F11" s="69"/>
      <c r="G11" s="69"/>
      <c r="H11" s="64">
        <v>17</v>
      </c>
      <c r="I11" s="65" t="s">
        <v>6</v>
      </c>
      <c r="K11" s="67">
        <v>9409</v>
      </c>
      <c r="L11" s="68"/>
      <c r="M11" s="267">
        <v>9105</v>
      </c>
      <c r="N11" s="69"/>
      <c r="O11" s="69"/>
      <c r="P11" s="64">
        <v>3</v>
      </c>
      <c r="Q11" s="65" t="s">
        <v>6</v>
      </c>
    </row>
    <row r="12" spans="1:17" ht="21.75" customHeight="1" thickBot="1" x14ac:dyDescent="0.35">
      <c r="A12" s="56" t="s">
        <v>19</v>
      </c>
      <c r="C12" s="70">
        <f>SUM(C8:C11)</f>
        <v>13752</v>
      </c>
      <c r="D12" s="71"/>
      <c r="E12" s="268">
        <f>M12-29016</f>
        <v>11520</v>
      </c>
      <c r="F12" s="69"/>
      <c r="G12" s="69"/>
      <c r="H12" s="64">
        <v>19</v>
      </c>
      <c r="I12" s="65" t="s">
        <v>6</v>
      </c>
      <c r="K12" s="70">
        <f>SUM(K8:K11)</f>
        <v>47248</v>
      </c>
      <c r="L12" s="71"/>
      <c r="M12" s="268">
        <f>SUM(M8:M11)</f>
        <v>40536</v>
      </c>
      <c r="N12" s="69"/>
      <c r="O12" s="69"/>
      <c r="P12" s="64">
        <v>17</v>
      </c>
      <c r="Q12" s="65" t="s">
        <v>6</v>
      </c>
    </row>
    <row r="13" spans="1:17" ht="21.75" customHeight="1" thickTop="1" x14ac:dyDescent="0.3">
      <c r="A13" s="72"/>
      <c r="C13" s="73"/>
      <c r="D13" s="68"/>
      <c r="E13" s="269"/>
      <c r="F13" s="69"/>
      <c r="G13" s="69"/>
      <c r="H13" s="74"/>
      <c r="I13" s="75"/>
      <c r="K13" s="73"/>
      <c r="L13" s="68"/>
      <c r="M13" s="269"/>
      <c r="N13" s="69"/>
      <c r="O13" s="69"/>
      <c r="P13" s="74"/>
      <c r="Q13" s="75"/>
    </row>
    <row r="14" spans="1:17" ht="21.75" customHeight="1" x14ac:dyDescent="0.3">
      <c r="A14" s="76" t="s">
        <v>20</v>
      </c>
      <c r="C14" s="73"/>
      <c r="D14" s="68"/>
      <c r="E14" s="269"/>
      <c r="F14" s="69"/>
      <c r="G14" s="69"/>
      <c r="H14" s="74"/>
      <c r="I14" s="75"/>
      <c r="K14" s="73"/>
      <c r="L14" s="68"/>
      <c r="M14" s="269"/>
      <c r="N14" s="69"/>
      <c r="O14" s="69"/>
      <c r="P14" s="74"/>
      <c r="Q14" s="75"/>
    </row>
    <row r="15" spans="1:17" s="60" customFormat="1" ht="21.75" customHeight="1" x14ac:dyDescent="0.3">
      <c r="A15" s="59" t="s">
        <v>16</v>
      </c>
      <c r="C15" s="61">
        <v>552</v>
      </c>
      <c r="D15" s="62"/>
      <c r="E15" s="265">
        <f>M15-1233</f>
        <v>448</v>
      </c>
      <c r="F15" s="63"/>
      <c r="G15" s="63"/>
      <c r="H15" s="64">
        <v>23</v>
      </c>
      <c r="I15" s="65" t="s">
        <v>6</v>
      </c>
      <c r="K15" s="61">
        <v>1887</v>
      </c>
      <c r="L15" s="62"/>
      <c r="M15" s="265">
        <v>1681</v>
      </c>
      <c r="N15" s="63"/>
      <c r="O15" s="63"/>
      <c r="P15" s="64">
        <v>12</v>
      </c>
      <c r="Q15" s="65" t="s">
        <v>6</v>
      </c>
    </row>
    <row r="16" spans="1:17" s="60" customFormat="1" ht="21.75" customHeight="1" x14ac:dyDescent="0.3">
      <c r="A16" s="59" t="s">
        <v>17</v>
      </c>
      <c r="C16" s="66">
        <v>255</v>
      </c>
      <c r="D16" s="62"/>
      <c r="E16" s="266">
        <f>M16-895</f>
        <v>387</v>
      </c>
      <c r="F16" s="63"/>
      <c r="G16" s="63"/>
      <c r="H16" s="64">
        <v>-34</v>
      </c>
      <c r="I16" s="65" t="s">
        <v>6</v>
      </c>
      <c r="K16" s="66">
        <v>1018</v>
      </c>
      <c r="L16" s="62"/>
      <c r="M16" s="266">
        <v>1282</v>
      </c>
      <c r="N16" s="63"/>
      <c r="O16" s="63"/>
      <c r="P16" s="64">
        <v>-21</v>
      </c>
      <c r="Q16" s="65" t="s">
        <v>6</v>
      </c>
    </row>
    <row r="17" spans="1:22" s="60" customFormat="1" ht="21.75" customHeight="1" x14ac:dyDescent="0.3">
      <c r="A17" s="59" t="s">
        <v>123</v>
      </c>
      <c r="C17" s="66">
        <v>228</v>
      </c>
      <c r="D17" s="62"/>
      <c r="E17" s="266">
        <f>M17-687</f>
        <v>157</v>
      </c>
      <c r="F17" s="63"/>
      <c r="G17" s="63"/>
      <c r="H17" s="64">
        <v>45</v>
      </c>
      <c r="I17" s="65" t="s">
        <v>6</v>
      </c>
      <c r="K17" s="66">
        <v>906</v>
      </c>
      <c r="L17" s="62"/>
      <c r="M17" s="266">
        <v>844</v>
      </c>
      <c r="N17" s="63"/>
      <c r="O17" s="63"/>
      <c r="P17" s="64">
        <v>7</v>
      </c>
      <c r="Q17" s="65" t="s">
        <v>6</v>
      </c>
    </row>
    <row r="18" spans="1:22" ht="21.75" customHeight="1" x14ac:dyDescent="0.3">
      <c r="A18" s="49" t="s">
        <v>137</v>
      </c>
      <c r="C18" s="67">
        <v>255</v>
      </c>
      <c r="D18" s="68"/>
      <c r="E18" s="267">
        <f>M18-883</f>
        <v>288</v>
      </c>
      <c r="F18" s="69"/>
      <c r="G18" s="69"/>
      <c r="H18" s="77">
        <v>-11</v>
      </c>
      <c r="I18" s="65" t="s">
        <v>6</v>
      </c>
      <c r="K18" s="67">
        <v>1289</v>
      </c>
      <c r="L18" s="68"/>
      <c r="M18" s="267">
        <v>1171</v>
      </c>
      <c r="N18" s="69"/>
      <c r="O18" s="69"/>
      <c r="P18" s="77">
        <v>10</v>
      </c>
      <c r="Q18" s="65" t="s">
        <v>6</v>
      </c>
    </row>
    <row r="19" spans="1:22" ht="21.75" customHeight="1" x14ac:dyDescent="0.3">
      <c r="A19" s="56" t="s">
        <v>21</v>
      </c>
      <c r="C19" s="78">
        <f>SUM(C15:C18)</f>
        <v>1290</v>
      </c>
      <c r="D19" s="79"/>
      <c r="E19" s="270">
        <f>M19-3698</f>
        <v>1280</v>
      </c>
      <c r="F19" s="69"/>
      <c r="G19" s="69"/>
      <c r="H19" s="77">
        <v>1</v>
      </c>
      <c r="I19" s="65" t="s">
        <v>6</v>
      </c>
      <c r="K19" s="78">
        <f>SUM(K15:K18)</f>
        <v>5100</v>
      </c>
      <c r="L19" s="79"/>
      <c r="M19" s="270">
        <f>SUM(M15:M18)</f>
        <v>4978</v>
      </c>
      <c r="N19" s="69"/>
      <c r="O19" s="69"/>
      <c r="P19" s="77">
        <v>2</v>
      </c>
      <c r="Q19" s="65" t="s">
        <v>6</v>
      </c>
    </row>
    <row r="20" spans="1:22" ht="21.75" customHeight="1" x14ac:dyDescent="0.3">
      <c r="A20" s="56" t="s">
        <v>138</v>
      </c>
      <c r="C20" s="80"/>
      <c r="D20" s="81"/>
      <c r="E20" s="82"/>
      <c r="F20" s="83"/>
      <c r="G20" s="83"/>
      <c r="H20" s="74"/>
      <c r="I20" s="65"/>
      <c r="K20" s="80"/>
      <c r="L20" s="81"/>
      <c r="M20" s="82"/>
      <c r="N20" s="83"/>
      <c r="O20" s="83"/>
      <c r="P20" s="74"/>
      <c r="Q20" s="65"/>
    </row>
    <row r="21" spans="1:22" ht="21.75" customHeight="1" x14ac:dyDescent="0.3">
      <c r="A21" s="394" t="s">
        <v>236</v>
      </c>
      <c r="C21" s="80">
        <v>-261</v>
      </c>
      <c r="D21" s="81"/>
      <c r="E21" s="82">
        <v>-286</v>
      </c>
      <c r="F21" s="83"/>
      <c r="G21" s="83"/>
      <c r="H21" s="74"/>
      <c r="I21" s="65"/>
      <c r="K21" s="80">
        <v>-1019</v>
      </c>
      <c r="L21" s="81"/>
      <c r="M21" s="82">
        <v>-1127</v>
      </c>
      <c r="N21" s="83"/>
      <c r="O21" s="83"/>
      <c r="P21" s="74"/>
      <c r="Q21" s="65"/>
    </row>
    <row r="22" spans="1:22" ht="21.75" customHeight="1" x14ac:dyDescent="0.3">
      <c r="A22" s="395" t="s">
        <v>237</v>
      </c>
      <c r="C22" s="396">
        <v>491</v>
      </c>
      <c r="D22" s="81"/>
      <c r="E22" s="397">
        <v>381</v>
      </c>
      <c r="F22" s="83"/>
      <c r="G22" s="83"/>
      <c r="H22" s="74"/>
      <c r="I22" s="65"/>
      <c r="K22" s="396">
        <v>1921</v>
      </c>
      <c r="L22" s="81"/>
      <c r="M22" s="397">
        <v>1527</v>
      </c>
      <c r="N22" s="83"/>
      <c r="O22" s="83"/>
      <c r="P22" s="74"/>
      <c r="Q22" s="65"/>
    </row>
    <row r="23" spans="1:22" s="85" customFormat="1" ht="21.75" customHeight="1" x14ac:dyDescent="0.3">
      <c r="A23" s="84" t="s">
        <v>22</v>
      </c>
      <c r="C23" s="80">
        <v>230</v>
      </c>
      <c r="D23" s="86"/>
      <c r="E23" s="82">
        <f>M23-305</f>
        <v>95</v>
      </c>
      <c r="F23" s="60"/>
      <c r="G23" s="80"/>
      <c r="H23" s="87"/>
      <c r="I23" s="82"/>
      <c r="K23" s="80">
        <v>902</v>
      </c>
      <c r="L23" s="86"/>
      <c r="M23" s="82">
        <v>400</v>
      </c>
      <c r="N23" s="60"/>
      <c r="O23" s="80"/>
      <c r="P23" s="87"/>
      <c r="Q23" s="82"/>
    </row>
    <row r="24" spans="1:22" s="85" customFormat="1" ht="21.75" customHeight="1" x14ac:dyDescent="0.3">
      <c r="A24" s="84" t="s">
        <v>124</v>
      </c>
      <c r="C24" s="80">
        <v>0</v>
      </c>
      <c r="D24" s="86"/>
      <c r="E24" s="82">
        <f>M24+15</f>
        <v>-67</v>
      </c>
      <c r="F24" s="60"/>
      <c r="G24" s="80"/>
      <c r="H24" s="87"/>
      <c r="I24" s="82"/>
      <c r="K24" s="80">
        <v>-80</v>
      </c>
      <c r="L24" s="86"/>
      <c r="M24" s="82">
        <v>-82</v>
      </c>
      <c r="N24" s="60"/>
      <c r="O24" s="80"/>
      <c r="P24" s="87"/>
      <c r="Q24" s="82"/>
    </row>
    <row r="25" spans="1:22" s="85" customFormat="1" ht="21.75" customHeight="1" x14ac:dyDescent="0.3">
      <c r="A25" s="84" t="s">
        <v>23</v>
      </c>
      <c r="C25" s="80">
        <v>-25</v>
      </c>
      <c r="D25" s="86"/>
      <c r="E25" s="82">
        <f>M25+112+1</f>
        <v>-20</v>
      </c>
      <c r="F25" s="60"/>
      <c r="G25" s="80"/>
      <c r="H25" s="87"/>
      <c r="I25" s="82"/>
      <c r="K25" s="80">
        <v>-149</v>
      </c>
      <c r="L25" s="86"/>
      <c r="M25" s="82">
        <v>-133</v>
      </c>
      <c r="N25" s="60"/>
      <c r="O25" s="80"/>
      <c r="P25" s="87"/>
      <c r="Q25" s="82"/>
    </row>
    <row r="26" spans="1:22" s="85" customFormat="1" ht="24" customHeight="1" x14ac:dyDescent="0.3">
      <c r="A26" s="84" t="s">
        <v>24</v>
      </c>
      <c r="C26" s="242">
        <v>-67</v>
      </c>
      <c r="D26" s="90"/>
      <c r="E26" s="271">
        <f>M26+264-1</f>
        <v>-188</v>
      </c>
      <c r="F26" s="40"/>
      <c r="G26" s="91"/>
      <c r="H26" s="92"/>
      <c r="I26" s="93"/>
      <c r="K26" s="242">
        <v>-224</v>
      </c>
      <c r="L26" s="90"/>
      <c r="M26" s="271">
        <v>-451</v>
      </c>
      <c r="N26" s="40"/>
      <c r="O26" s="91"/>
      <c r="P26" s="92"/>
      <c r="Q26" s="93"/>
    </row>
    <row r="27" spans="1:22" s="85" customFormat="1" ht="21.75" customHeight="1" x14ac:dyDescent="0.3">
      <c r="A27" s="94" t="s">
        <v>109</v>
      </c>
      <c r="C27" s="95">
        <f>SUM(C23:C26)</f>
        <v>138</v>
      </c>
      <c r="D27" s="90"/>
      <c r="E27" s="272">
        <f>M27+86</f>
        <v>-180</v>
      </c>
      <c r="F27" s="40"/>
      <c r="G27" s="91"/>
      <c r="H27" s="77"/>
      <c r="I27" s="65"/>
      <c r="K27" s="95">
        <f>SUM(K23:K26)</f>
        <v>449</v>
      </c>
      <c r="L27" s="90"/>
      <c r="M27" s="272">
        <f>SUM(M23:M26)</f>
        <v>-266</v>
      </c>
      <c r="N27" s="40"/>
      <c r="O27" s="91"/>
      <c r="P27" s="77"/>
      <c r="Q27" s="65"/>
    </row>
    <row r="28" spans="1:22" s="85" customFormat="1" ht="21.75" customHeight="1" thickBot="1" x14ac:dyDescent="0.35">
      <c r="A28" s="56" t="s">
        <v>25</v>
      </c>
      <c r="B28" s="40"/>
      <c r="C28" s="96">
        <f>+C19+C27</f>
        <v>1428</v>
      </c>
      <c r="D28" s="81"/>
      <c r="E28" s="97">
        <f>M28-3612</f>
        <v>1100</v>
      </c>
      <c r="F28" s="69"/>
      <c r="G28" s="69"/>
      <c r="H28" s="77">
        <v>30</v>
      </c>
      <c r="I28" s="65" t="s">
        <v>6</v>
      </c>
      <c r="J28" s="40"/>
      <c r="K28" s="96">
        <f>+K19+K27</f>
        <v>5549</v>
      </c>
      <c r="L28" s="81"/>
      <c r="M28" s="97">
        <f>M19+M27</f>
        <v>4712</v>
      </c>
      <c r="N28" s="69"/>
      <c r="O28" s="69"/>
      <c r="P28" s="77">
        <v>18</v>
      </c>
      <c r="Q28" s="65" t="s">
        <v>6</v>
      </c>
      <c r="R28" s="40"/>
      <c r="V28" s="220"/>
    </row>
    <row r="29" spans="1:22" ht="21.75" customHeight="1" thickTop="1" x14ac:dyDescent="0.3">
      <c r="A29" s="56"/>
      <c r="C29" s="98"/>
      <c r="D29" s="81"/>
      <c r="E29" s="273"/>
      <c r="F29" s="69"/>
      <c r="G29" s="69"/>
      <c r="H29" s="99"/>
      <c r="I29" s="100"/>
      <c r="K29" s="98"/>
      <c r="L29" s="81"/>
      <c r="M29" s="273"/>
      <c r="N29" s="69"/>
      <c r="O29" s="69"/>
      <c r="P29" s="99"/>
      <c r="Q29" s="100"/>
    </row>
    <row r="30" spans="1:22" ht="21.75" customHeight="1" x14ac:dyDescent="0.3">
      <c r="A30" s="56" t="s">
        <v>135</v>
      </c>
      <c r="B30" s="47"/>
      <c r="C30" s="56"/>
      <c r="D30" s="56"/>
      <c r="E30" s="49"/>
      <c r="F30" s="73"/>
      <c r="G30" s="73"/>
      <c r="H30" s="101"/>
      <c r="I30" s="68"/>
      <c r="J30" s="47"/>
      <c r="K30" s="56"/>
      <c r="L30" s="56"/>
      <c r="M30" s="49"/>
      <c r="N30" s="73"/>
      <c r="O30" s="73"/>
      <c r="P30" s="101"/>
      <c r="Q30" s="68"/>
      <c r="R30" s="47"/>
      <c r="T30" s="398"/>
    </row>
    <row r="31" spans="1:22" s="47" customFormat="1" ht="21.75" customHeight="1" x14ac:dyDescent="0.3">
      <c r="A31" s="59" t="s">
        <v>16</v>
      </c>
      <c r="C31" s="102">
        <f>(C15/C8)*100</f>
        <v>10.208988348437211</v>
      </c>
      <c r="D31" s="103" t="s">
        <v>6</v>
      </c>
      <c r="E31" s="104">
        <f>(E15/E8)*100</f>
        <v>10.218978102189782</v>
      </c>
      <c r="F31" s="105" t="s">
        <v>6</v>
      </c>
      <c r="G31" s="105"/>
      <c r="H31" s="105"/>
      <c r="I31" s="106"/>
      <c r="K31" s="102">
        <f>(K15/K8)*100</f>
        <v>10.619618436603073</v>
      </c>
      <c r="L31" s="103" t="s">
        <v>6</v>
      </c>
      <c r="M31" s="104">
        <f>(M15/M8)*100</f>
        <v>10.79640333975594</v>
      </c>
      <c r="N31" s="105" t="s">
        <v>6</v>
      </c>
      <c r="O31" s="105"/>
      <c r="P31" s="105"/>
      <c r="Q31" s="106"/>
      <c r="R31" s="222"/>
    </row>
    <row r="32" spans="1:22" s="47" customFormat="1" ht="21.75" customHeight="1" x14ac:dyDescent="0.3">
      <c r="A32" s="59" t="s">
        <v>17</v>
      </c>
      <c r="C32" s="102">
        <f t="shared" ref="C32:E34" si="0">(C16/C9)*100</f>
        <v>14.513375071143997</v>
      </c>
      <c r="D32" s="103" t="s">
        <v>6</v>
      </c>
      <c r="E32" s="104">
        <f t="shared" si="0"/>
        <v>19.654647028948705</v>
      </c>
      <c r="F32" s="105" t="s">
        <v>6</v>
      </c>
      <c r="H32" s="105"/>
      <c r="I32" s="49"/>
      <c r="K32" s="102">
        <f t="shared" ref="K32" si="1">(K16/K9)*100</f>
        <v>15.405569007263923</v>
      </c>
      <c r="L32" s="103" t="s">
        <v>6</v>
      </c>
      <c r="M32" s="104">
        <f t="shared" ref="M32:M34" si="2">(M16/M9)*100</f>
        <v>18.936484490398819</v>
      </c>
      <c r="N32" s="105" t="s">
        <v>6</v>
      </c>
      <c r="P32" s="105"/>
      <c r="Q32" s="49"/>
      <c r="R32" s="222"/>
      <c r="S32" s="222"/>
      <c r="T32" s="222"/>
      <c r="U32" s="222"/>
      <c r="V32" s="222"/>
    </row>
    <row r="33" spans="1:22" s="47" customFormat="1" ht="21.75" customHeight="1" x14ac:dyDescent="0.3">
      <c r="A33" s="59" t="s">
        <v>123</v>
      </c>
      <c r="C33" s="102">
        <f t="shared" si="0"/>
        <v>5.9858230506694667</v>
      </c>
      <c r="D33" s="103" t="s">
        <v>6</v>
      </c>
      <c r="E33" s="104">
        <f t="shared" si="0"/>
        <v>5.6373429084380611</v>
      </c>
      <c r="F33" s="105" t="s">
        <v>6</v>
      </c>
      <c r="H33" s="105"/>
      <c r="I33" s="49"/>
      <c r="K33" s="102">
        <f t="shared" ref="K33" si="3">(K17/K10)*100</f>
        <v>6.7300549695439011</v>
      </c>
      <c r="L33" s="103" t="s">
        <v>6</v>
      </c>
      <c r="M33" s="104">
        <f t="shared" si="2"/>
        <v>9.2839071609283916</v>
      </c>
      <c r="N33" s="105" t="s">
        <v>6</v>
      </c>
      <c r="P33" s="105"/>
      <c r="Q33" s="49"/>
      <c r="R33" s="222"/>
      <c r="S33" s="222"/>
      <c r="T33" s="222"/>
      <c r="U33" s="222"/>
      <c r="V33" s="222"/>
    </row>
    <row r="34" spans="1:22" s="47" customFormat="1" ht="21.75" customHeight="1" x14ac:dyDescent="0.3">
      <c r="A34" s="49" t="s">
        <v>18</v>
      </c>
      <c r="C34" s="102">
        <f t="shared" si="0"/>
        <v>9.1759625764663557</v>
      </c>
      <c r="D34" s="103" t="s">
        <v>6</v>
      </c>
      <c r="E34" s="104">
        <f t="shared" si="0"/>
        <v>12.090680100755668</v>
      </c>
      <c r="F34" s="105" t="s">
        <v>6</v>
      </c>
      <c r="G34" s="105"/>
      <c r="H34" s="105"/>
      <c r="I34" s="106"/>
      <c r="K34" s="102">
        <f t="shared" ref="K34" si="4">(K18/K11)*100</f>
        <v>13.699649271973643</v>
      </c>
      <c r="L34" s="103" t="s">
        <v>6</v>
      </c>
      <c r="M34" s="104">
        <f t="shared" si="2"/>
        <v>12.861065348709499</v>
      </c>
      <c r="N34" s="105" t="s">
        <v>6</v>
      </c>
      <c r="O34" s="105"/>
      <c r="P34" s="105"/>
      <c r="Q34" s="106"/>
      <c r="R34" s="222"/>
      <c r="S34" s="222"/>
      <c r="T34" s="222"/>
      <c r="U34" s="222"/>
      <c r="V34" s="222"/>
    </row>
    <row r="35" spans="1:22" s="47" customFormat="1" ht="21.75" customHeight="1" x14ac:dyDescent="0.3">
      <c r="A35" s="107" t="s">
        <v>134</v>
      </c>
      <c r="C35" s="102">
        <f>(C19/C12)*100</f>
        <v>9.3804537521815021</v>
      </c>
      <c r="D35" s="103" t="s">
        <v>6</v>
      </c>
      <c r="E35" s="104">
        <f>(E19/E12)*100</f>
        <v>11.111111111111111</v>
      </c>
      <c r="F35" s="105" t="s">
        <v>6</v>
      </c>
      <c r="G35" s="105"/>
      <c r="H35" s="105"/>
      <c r="I35" s="106"/>
      <c r="K35" s="102">
        <f>(K19/K12)*100</f>
        <v>10.794107687097867</v>
      </c>
      <c r="L35" s="103" t="s">
        <v>6</v>
      </c>
      <c r="M35" s="104">
        <f>(M19/M12)*100</f>
        <v>12.280442076179199</v>
      </c>
      <c r="N35" s="105" t="s">
        <v>6</v>
      </c>
      <c r="O35" s="105"/>
      <c r="P35" s="105"/>
      <c r="Q35" s="106"/>
      <c r="R35" s="222"/>
      <c r="S35" s="222"/>
      <c r="T35" s="222"/>
      <c r="U35" s="222"/>
      <c r="V35" s="222"/>
    </row>
    <row r="36" spans="1:22" s="47" customFormat="1" ht="21.75" customHeight="1" x14ac:dyDescent="0.3">
      <c r="A36" s="56"/>
      <c r="C36" s="102"/>
      <c r="D36" s="103"/>
      <c r="E36" s="104"/>
      <c r="F36" s="105"/>
      <c r="G36" s="105"/>
      <c r="H36" s="105"/>
      <c r="I36" s="106"/>
      <c r="K36" s="102"/>
      <c r="L36" s="103"/>
      <c r="M36" s="104"/>
      <c r="N36" s="105"/>
      <c r="O36" s="105"/>
      <c r="P36" s="105"/>
      <c r="Q36" s="106"/>
      <c r="R36" s="222"/>
      <c r="S36" s="222"/>
      <c r="T36" s="222"/>
      <c r="U36" s="222"/>
      <c r="V36" s="222"/>
    </row>
    <row r="37" spans="1:22" s="47" customFormat="1" ht="21.75" customHeight="1" x14ac:dyDescent="0.3">
      <c r="A37" s="107" t="s">
        <v>136</v>
      </c>
      <c r="C37" s="102">
        <f>(C28/C12)*100</f>
        <v>10.38394415357766</v>
      </c>
      <c r="D37" s="103" t="s">
        <v>6</v>
      </c>
      <c r="E37" s="104">
        <f>(E28/E12)*100</f>
        <v>9.5486111111111107</v>
      </c>
      <c r="F37" s="105" t="s">
        <v>6</v>
      </c>
      <c r="G37" s="105"/>
      <c r="H37" s="105"/>
      <c r="I37" s="106"/>
      <c r="K37" s="102">
        <f>(K28/K12)*100</f>
        <v>11.744412461903149</v>
      </c>
      <c r="L37" s="103" t="s">
        <v>6</v>
      </c>
      <c r="M37" s="104">
        <f>(M28/M12)*100</f>
        <v>11.624235247681074</v>
      </c>
      <c r="N37" s="105" t="s">
        <v>6</v>
      </c>
      <c r="O37" s="105"/>
      <c r="P37" s="105"/>
      <c r="Q37" s="106"/>
      <c r="R37" s="222"/>
      <c r="S37" s="222"/>
      <c r="T37" s="222"/>
      <c r="U37" s="222"/>
      <c r="V37" s="222"/>
    </row>
    <row r="38" spans="1:22" s="47" customFormat="1" ht="21.75" customHeight="1" x14ac:dyDescent="0.3">
      <c r="A38" s="108"/>
      <c r="C38" s="102"/>
      <c r="D38" s="103"/>
      <c r="E38" s="104"/>
      <c r="F38" s="105"/>
      <c r="G38" s="105"/>
      <c r="H38" s="105"/>
      <c r="I38" s="106"/>
      <c r="K38" s="102"/>
      <c r="L38" s="103"/>
      <c r="M38" s="104"/>
      <c r="N38" s="105"/>
      <c r="O38" s="105"/>
      <c r="P38" s="105"/>
      <c r="Q38" s="106"/>
      <c r="S38" s="222"/>
      <c r="T38" s="222"/>
      <c r="U38" s="222"/>
      <c r="V38" s="222"/>
    </row>
    <row r="39" spans="1:22" s="47" customFormat="1" x14ac:dyDescent="0.3">
      <c r="A39" s="40"/>
      <c r="B39" s="40"/>
      <c r="C39" s="40"/>
      <c r="D39" s="109"/>
      <c r="E39" s="40"/>
      <c r="F39" s="40"/>
      <c r="G39" s="40"/>
      <c r="H39" s="110"/>
      <c r="I39" s="109"/>
      <c r="J39" s="40"/>
      <c r="K39" s="40"/>
      <c r="L39" s="109"/>
      <c r="M39" s="40"/>
      <c r="N39" s="40"/>
      <c r="O39" s="40"/>
      <c r="P39" s="110"/>
      <c r="Q39" s="109"/>
      <c r="R39" s="40"/>
    </row>
    <row r="40" spans="1:22" s="4" customFormat="1" ht="18.75" customHeight="1" x14ac:dyDescent="0.25">
      <c r="A40" s="400" t="s">
        <v>169</v>
      </c>
      <c r="B40" s="400"/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400"/>
    </row>
    <row r="41" spans="1:22" s="4" customFormat="1" ht="18.75" customHeight="1" x14ac:dyDescent="0.25">
      <c r="A41" s="400" t="s">
        <v>180</v>
      </c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</row>
    <row r="42" spans="1:22" s="4" customFormat="1" ht="18.75" customHeight="1" x14ac:dyDescent="0.25">
      <c r="A42" s="400"/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</row>
    <row r="43" spans="1:22" s="4" customFormat="1" ht="18.75" customHeight="1" x14ac:dyDescent="0.25">
      <c r="A43" s="400" t="s">
        <v>150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</row>
    <row r="44" spans="1:22" s="4" customFormat="1" ht="18.75" customHeight="1" x14ac:dyDescent="0.25">
      <c r="A44" s="400" t="s">
        <v>148</v>
      </c>
      <c r="B44" s="400"/>
      <c r="C44" s="400"/>
      <c r="D44" s="400"/>
      <c r="E44" s="400"/>
      <c r="F44" s="400"/>
      <c r="G44" s="400"/>
      <c r="H44" s="400"/>
      <c r="I44" s="400"/>
      <c r="J44" s="400"/>
      <c r="K44" s="400"/>
      <c r="L44" s="400"/>
      <c r="M44" s="400"/>
    </row>
    <row r="45" spans="1:22" s="4" customFormat="1" ht="18.75" customHeight="1" x14ac:dyDescent="0.25">
      <c r="A45" s="400" t="s">
        <v>149</v>
      </c>
      <c r="B45" s="400"/>
      <c r="C45" s="400"/>
      <c r="D45" s="400"/>
      <c r="E45" s="400"/>
      <c r="F45" s="400"/>
      <c r="G45" s="400"/>
      <c r="H45" s="400"/>
      <c r="I45" s="400"/>
      <c r="J45" s="400"/>
      <c r="K45" s="400"/>
      <c r="L45" s="400"/>
      <c r="M45" s="400"/>
    </row>
    <row r="46" spans="1:22" s="4" customFormat="1" ht="18.75" customHeight="1" x14ac:dyDescent="0.25">
      <c r="A46" s="297" t="s">
        <v>186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</row>
    <row r="47" spans="1:22" s="4" customFormat="1" ht="18.75" customHeight="1" x14ac:dyDescent="0.25">
      <c r="A47" s="400" t="s">
        <v>187</v>
      </c>
      <c r="B47" s="400"/>
      <c r="C47" s="400"/>
      <c r="D47" s="400"/>
      <c r="E47" s="400"/>
      <c r="F47" s="400"/>
      <c r="G47" s="400"/>
      <c r="H47" s="400"/>
      <c r="I47" s="400"/>
      <c r="J47" s="400"/>
      <c r="K47" s="400"/>
      <c r="L47" s="400"/>
      <c r="M47" s="400"/>
    </row>
    <row r="48" spans="1:22" s="4" customFormat="1" ht="18.75" customHeight="1" x14ac:dyDescent="0.25">
      <c r="A48" s="400" t="s">
        <v>244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</row>
    <row r="49" spans="1:13" s="4" customFormat="1" ht="18.75" x14ac:dyDescent="0.25">
      <c r="A49" s="296" t="s">
        <v>188</v>
      </c>
      <c r="B49" s="38"/>
    </row>
    <row r="50" spans="1:13" s="4" customFormat="1" ht="18.75" customHeight="1" x14ac:dyDescent="0.25">
      <c r="A50" s="400" t="s">
        <v>189</v>
      </c>
      <c r="B50" s="400"/>
      <c r="C50" s="400"/>
      <c r="D50" s="400"/>
      <c r="E50" s="400"/>
      <c r="F50" s="400"/>
      <c r="G50" s="400"/>
      <c r="H50" s="400"/>
      <c r="I50" s="400"/>
      <c r="J50" s="400"/>
      <c r="K50" s="400"/>
      <c r="L50" s="400"/>
      <c r="M50" s="400"/>
    </row>
    <row r="51" spans="1:13" s="4" customFormat="1" ht="18.75" customHeight="1" x14ac:dyDescent="0.25">
      <c r="A51" s="400" t="s">
        <v>190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00"/>
      <c r="L51" s="400"/>
      <c r="M51" s="400"/>
    </row>
    <row r="52" spans="1:13" s="4" customFormat="1" ht="18.75" customHeight="1" x14ac:dyDescent="0.25">
      <c r="A52" s="400" t="s">
        <v>185</v>
      </c>
      <c r="B52" s="400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</row>
    <row r="53" spans="1:13" s="4" customFormat="1" ht="18.75" customHeight="1" x14ac:dyDescent="0.25">
      <c r="A53" s="400" t="s">
        <v>185</v>
      </c>
      <c r="B53" s="400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</row>
    <row r="54" spans="1:13" s="4" customFormat="1" ht="18.75" customHeight="1" x14ac:dyDescent="0.25">
      <c r="A54" s="400"/>
      <c r="B54" s="400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</row>
  </sheetData>
  <mergeCells count="17">
    <mergeCell ref="A54:M54"/>
    <mergeCell ref="A50:M50"/>
    <mergeCell ref="A51:M51"/>
    <mergeCell ref="A52:M52"/>
    <mergeCell ref="A53:M53"/>
    <mergeCell ref="A47:M47"/>
    <mergeCell ref="A48:M48"/>
    <mergeCell ref="A41:M41"/>
    <mergeCell ref="A42:M42"/>
    <mergeCell ref="A43:M43"/>
    <mergeCell ref="A44:M44"/>
    <mergeCell ref="A45:M45"/>
    <mergeCell ref="K5:M5"/>
    <mergeCell ref="P6:Q6"/>
    <mergeCell ref="C5:E5"/>
    <mergeCell ref="H6:I6"/>
    <mergeCell ref="A40:M40"/>
  </mergeCells>
  <pageMargins left="0.75" right="0.2" top="0.25" bottom="0.35" header="0.25" footer="0.17"/>
  <pageSetup scale="50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56"/>
  <sheetViews>
    <sheetView topLeftCell="A22" zoomScale="55" zoomScaleNormal="55" zoomScaleSheetLayoutView="55" workbookViewId="0">
      <selection activeCell="E67" sqref="E67"/>
    </sheetView>
  </sheetViews>
  <sheetFormatPr defaultColWidth="8.88671875" defaultRowHeight="20.25" x14ac:dyDescent="0.3"/>
  <cols>
    <col min="1" max="1" width="65.109375" style="135" customWidth="1"/>
    <col min="2" max="2" width="10.109375" style="135" customWidth="1"/>
    <col min="3" max="3" width="18.109375" style="135" customWidth="1"/>
    <col min="4" max="4" width="4" style="47" customWidth="1"/>
    <col min="5" max="5" width="18.109375" style="135" customWidth="1"/>
    <col min="6" max="6" width="2.5546875" style="47" bestFit="1" customWidth="1"/>
    <col min="7" max="16384" width="8.88671875" style="135"/>
  </cols>
  <sheetData>
    <row r="1" spans="1:5" x14ac:dyDescent="0.3">
      <c r="A1" s="111" t="s">
        <v>0</v>
      </c>
      <c r="B1" s="112"/>
      <c r="C1" s="113"/>
      <c r="E1" s="113"/>
    </row>
    <row r="2" spans="1:5" x14ac:dyDescent="0.3">
      <c r="A2" s="111" t="s">
        <v>26</v>
      </c>
      <c r="B2" s="112"/>
      <c r="C2" s="113"/>
      <c r="E2" s="113"/>
    </row>
    <row r="3" spans="1:5" x14ac:dyDescent="0.3">
      <c r="A3" s="111" t="s">
        <v>27</v>
      </c>
      <c r="B3" s="112"/>
      <c r="C3" s="113"/>
      <c r="E3" s="113"/>
    </row>
    <row r="4" spans="1:5" ht="15" customHeight="1" x14ac:dyDescent="0.3">
      <c r="A4" s="111"/>
      <c r="B4" s="112"/>
      <c r="C4" s="113"/>
      <c r="E4" s="113"/>
    </row>
    <row r="5" spans="1:5" ht="8.25" customHeight="1" x14ac:dyDescent="0.3">
      <c r="A5" s="111"/>
      <c r="B5" s="112"/>
      <c r="C5" s="114"/>
      <c r="E5" s="114"/>
    </row>
    <row r="6" spans="1:5" ht="8.25" customHeight="1" x14ac:dyDescent="0.3">
      <c r="A6" s="115"/>
      <c r="B6" s="112"/>
      <c r="C6" s="116"/>
      <c r="E6" s="116"/>
    </row>
    <row r="7" spans="1:5" ht="42" thickBot="1" x14ac:dyDescent="0.35">
      <c r="A7" s="117"/>
      <c r="B7" s="112"/>
      <c r="C7" s="221" t="s">
        <v>165</v>
      </c>
      <c r="E7" s="221" t="s">
        <v>154</v>
      </c>
    </row>
    <row r="8" spans="1:5" ht="21.95" customHeight="1" x14ac:dyDescent="0.3">
      <c r="A8" s="111" t="s">
        <v>28</v>
      </c>
      <c r="B8" s="112"/>
      <c r="C8" s="118"/>
      <c r="E8" s="118"/>
    </row>
    <row r="9" spans="1:5" ht="21.95" customHeight="1" x14ac:dyDescent="0.3">
      <c r="A9" s="119" t="s">
        <v>29</v>
      </c>
      <c r="B9" s="112"/>
      <c r="C9" s="120"/>
      <c r="E9" s="120"/>
    </row>
    <row r="10" spans="1:5" ht="21.95" customHeight="1" x14ac:dyDescent="0.3">
      <c r="A10" s="119" t="s">
        <v>30</v>
      </c>
      <c r="B10" s="112"/>
      <c r="C10" s="286">
        <v>1837</v>
      </c>
      <c r="E10" s="121">
        <v>1090</v>
      </c>
    </row>
    <row r="11" spans="1:5" ht="21.95" customHeight="1" x14ac:dyDescent="0.3">
      <c r="A11" s="119" t="s">
        <v>31</v>
      </c>
      <c r="B11" s="112"/>
      <c r="C11" s="122">
        <v>8202</v>
      </c>
      <c r="E11" s="123">
        <v>7254</v>
      </c>
    </row>
    <row r="12" spans="1:5" ht="21.95" customHeight="1" x14ac:dyDescent="0.3">
      <c r="A12" s="119" t="s">
        <v>32</v>
      </c>
      <c r="B12" s="112"/>
      <c r="C12" s="122">
        <v>4670</v>
      </c>
      <c r="E12" s="123">
        <v>4819</v>
      </c>
    </row>
    <row r="13" spans="1:5" ht="21.95" customHeight="1" x14ac:dyDescent="0.3">
      <c r="A13" s="119" t="s">
        <v>33</v>
      </c>
      <c r="B13" s="112"/>
      <c r="C13" s="89">
        <v>399</v>
      </c>
      <c r="D13" s="289"/>
      <c r="E13" s="88">
        <v>441</v>
      </c>
    </row>
    <row r="14" spans="1:5" ht="21.95" customHeight="1" x14ac:dyDescent="0.3">
      <c r="A14" s="119" t="s">
        <v>144</v>
      </c>
      <c r="B14" s="112"/>
      <c r="C14" s="124">
        <v>0</v>
      </c>
      <c r="E14" s="125">
        <v>969</v>
      </c>
    </row>
    <row r="15" spans="1:5" ht="21.95" customHeight="1" x14ac:dyDescent="0.3">
      <c r="A15" s="126" t="s">
        <v>34</v>
      </c>
      <c r="B15" s="112"/>
      <c r="C15" s="294">
        <f>SUM(C10:C14)</f>
        <v>15108</v>
      </c>
      <c r="E15" s="83">
        <f>SUM(E10:E14)</f>
        <v>14573</v>
      </c>
    </row>
    <row r="16" spans="1:5" ht="21.95" customHeight="1" x14ac:dyDescent="0.3">
      <c r="A16" s="117"/>
      <c r="B16" s="112"/>
      <c r="C16" s="287"/>
      <c r="E16" s="127"/>
    </row>
    <row r="17" spans="1:5" ht="21.95" customHeight="1" x14ac:dyDescent="0.3">
      <c r="A17" s="119" t="s">
        <v>107</v>
      </c>
      <c r="B17" s="112"/>
      <c r="C17" s="122">
        <v>5549</v>
      </c>
      <c r="E17" s="123">
        <v>5389</v>
      </c>
    </row>
    <row r="18" spans="1:5" ht="21.95" customHeight="1" x14ac:dyDescent="0.3">
      <c r="A18" s="113" t="s">
        <v>35</v>
      </c>
      <c r="B18" s="112"/>
      <c r="C18" s="89">
        <f>10744+20</f>
        <v>10764</v>
      </c>
      <c r="E18" s="88">
        <v>10695</v>
      </c>
    </row>
    <row r="19" spans="1:5" ht="21.95" customHeight="1" x14ac:dyDescent="0.3">
      <c r="A19" s="113" t="s">
        <v>117</v>
      </c>
      <c r="B19" s="112"/>
      <c r="C19" s="89">
        <f>4113-20</f>
        <v>4093</v>
      </c>
      <c r="E19" s="88">
        <v>4022</v>
      </c>
    </row>
    <row r="20" spans="1:5" ht="21.95" customHeight="1" x14ac:dyDescent="0.3">
      <c r="A20" s="113" t="s">
        <v>36</v>
      </c>
      <c r="B20" s="112"/>
      <c r="C20" s="122">
        <v>6625</v>
      </c>
      <c r="E20" s="123">
        <v>6068</v>
      </c>
    </row>
    <row r="21" spans="1:5" ht="21.95" customHeight="1" x14ac:dyDescent="0.3">
      <c r="A21" s="113" t="s">
        <v>37</v>
      </c>
      <c r="B21" s="128"/>
      <c r="C21" s="89">
        <f>3963+208+1496</f>
        <v>5667</v>
      </c>
      <c r="D21" s="289"/>
      <c r="E21" s="88">
        <v>5396</v>
      </c>
    </row>
    <row r="22" spans="1:5" ht="21.95" customHeight="1" x14ac:dyDescent="0.3">
      <c r="A22" s="119" t="s">
        <v>143</v>
      </c>
      <c r="B22" s="112"/>
      <c r="C22" s="124">
        <v>0</v>
      </c>
      <c r="E22" s="125">
        <v>3161</v>
      </c>
    </row>
    <row r="23" spans="1:5" ht="21.95" customHeight="1" thickBot="1" x14ac:dyDescent="0.35">
      <c r="A23" s="119" t="s">
        <v>38</v>
      </c>
      <c r="B23" s="129"/>
      <c r="C23" s="96">
        <f>SUM(C15:C22)</f>
        <v>47806</v>
      </c>
      <c r="E23" s="97">
        <f>SUM(E15:E22)</f>
        <v>49304</v>
      </c>
    </row>
    <row r="24" spans="1:5" ht="21.95" customHeight="1" thickTop="1" x14ac:dyDescent="0.3">
      <c r="A24" s="117"/>
      <c r="B24" s="112"/>
      <c r="C24" s="130"/>
      <c r="E24" s="131"/>
    </row>
    <row r="25" spans="1:5" ht="21.95" customHeight="1" x14ac:dyDescent="0.3">
      <c r="A25" s="111" t="s">
        <v>141</v>
      </c>
      <c r="B25" s="132"/>
      <c r="C25" s="288"/>
      <c r="E25" s="133"/>
    </row>
    <row r="26" spans="1:5" ht="21.95" customHeight="1" x14ac:dyDescent="0.3">
      <c r="A26" s="119" t="s">
        <v>39</v>
      </c>
      <c r="B26" s="132"/>
      <c r="C26" s="288"/>
      <c r="E26" s="133"/>
    </row>
    <row r="27" spans="1:5" ht="21.95" customHeight="1" x14ac:dyDescent="0.3">
      <c r="A27" s="119" t="s">
        <v>40</v>
      </c>
      <c r="B27" s="132"/>
      <c r="C27" s="286">
        <v>1653</v>
      </c>
      <c r="E27" s="121">
        <v>1745</v>
      </c>
    </row>
    <row r="28" spans="1:5" ht="21.95" customHeight="1" x14ac:dyDescent="0.3">
      <c r="A28" s="119" t="s">
        <v>41</v>
      </c>
      <c r="B28" s="132"/>
      <c r="C28" s="80">
        <v>6776</v>
      </c>
      <c r="E28" s="82">
        <v>6703</v>
      </c>
    </row>
    <row r="29" spans="1:5" ht="21.95" customHeight="1" x14ac:dyDescent="0.3">
      <c r="A29" s="119" t="s">
        <v>108</v>
      </c>
      <c r="B29" s="132"/>
      <c r="C29" s="80">
        <v>1764</v>
      </c>
      <c r="E29" s="82">
        <v>1707</v>
      </c>
    </row>
    <row r="30" spans="1:5" ht="21.95" customHeight="1" x14ac:dyDescent="0.3">
      <c r="A30" s="119" t="s">
        <v>118</v>
      </c>
      <c r="B30" s="132"/>
      <c r="C30" s="80">
        <v>0</v>
      </c>
      <c r="E30" s="82">
        <v>956</v>
      </c>
    </row>
    <row r="31" spans="1:5" ht="21.95" customHeight="1" x14ac:dyDescent="0.3">
      <c r="A31" s="119" t="s">
        <v>42</v>
      </c>
      <c r="B31" s="112"/>
      <c r="C31" s="80">
        <f>2076+4+269</f>
        <v>2349</v>
      </c>
      <c r="D31" s="289"/>
      <c r="E31" s="82">
        <v>1859</v>
      </c>
    </row>
    <row r="32" spans="1:5" ht="21.95" customHeight="1" x14ac:dyDescent="0.3">
      <c r="A32" s="119" t="s">
        <v>145</v>
      </c>
      <c r="B32" s="132"/>
      <c r="C32" s="124">
        <v>0</v>
      </c>
      <c r="E32" s="125">
        <v>948</v>
      </c>
    </row>
    <row r="33" spans="1:5" ht="21.95" customHeight="1" x14ac:dyDescent="0.3">
      <c r="A33" s="119" t="s">
        <v>43</v>
      </c>
      <c r="B33" s="112"/>
      <c r="C33" s="80">
        <f>SUM(C27:C32)</f>
        <v>12542</v>
      </c>
      <c r="E33" s="82">
        <f>SUM(E27:E32)</f>
        <v>13918</v>
      </c>
    </row>
    <row r="34" spans="1:5" ht="21.95" customHeight="1" x14ac:dyDescent="0.3">
      <c r="A34" s="113"/>
      <c r="B34" s="112"/>
      <c r="C34" s="130"/>
      <c r="E34" s="131"/>
    </row>
    <row r="35" spans="1:5" ht="21.95" customHeight="1" x14ac:dyDescent="0.3">
      <c r="A35" s="119" t="s">
        <v>46</v>
      </c>
      <c r="B35" s="112"/>
      <c r="C35" s="122">
        <v>14282</v>
      </c>
      <c r="E35" s="123">
        <v>14305</v>
      </c>
    </row>
    <row r="36" spans="1:5" ht="21.95" customHeight="1" x14ac:dyDescent="0.3">
      <c r="A36" s="119" t="s">
        <v>44</v>
      </c>
      <c r="B36" s="128"/>
      <c r="C36" s="122">
        <v>13855</v>
      </c>
      <c r="E36" s="123">
        <v>11807</v>
      </c>
    </row>
    <row r="37" spans="1:5" ht="21.95" customHeight="1" x14ac:dyDescent="0.3">
      <c r="A37" s="119" t="s">
        <v>45</v>
      </c>
      <c r="B37" s="112"/>
      <c r="C37" s="122">
        <v>862</v>
      </c>
      <c r="E37" s="123">
        <v>1070</v>
      </c>
    </row>
    <row r="38" spans="1:5" ht="21.95" customHeight="1" x14ac:dyDescent="0.3">
      <c r="A38" s="119" t="s">
        <v>47</v>
      </c>
      <c r="B38" s="128"/>
      <c r="C38" s="89">
        <v>4659</v>
      </c>
      <c r="D38" s="289"/>
      <c r="E38" s="88">
        <v>4902</v>
      </c>
    </row>
    <row r="39" spans="1:5" ht="21.95" customHeight="1" x14ac:dyDescent="0.3">
      <c r="A39" s="119" t="s">
        <v>146</v>
      </c>
      <c r="B39" s="112"/>
      <c r="C39" s="124">
        <v>0</v>
      </c>
      <c r="E39" s="125">
        <v>205</v>
      </c>
    </row>
    <row r="40" spans="1:5" ht="21.95" customHeight="1" x14ac:dyDescent="0.3">
      <c r="A40" s="119" t="s">
        <v>48</v>
      </c>
      <c r="B40" s="128"/>
      <c r="C40" s="294">
        <f>SUM(C33:C39)</f>
        <v>46200</v>
      </c>
      <c r="E40" s="83">
        <f>SUM(E33:E39)</f>
        <v>46207</v>
      </c>
    </row>
    <row r="41" spans="1:5" ht="21.95" customHeight="1" x14ac:dyDescent="0.3">
      <c r="A41" s="119"/>
      <c r="B41" s="128"/>
      <c r="C41" s="122"/>
      <c r="E41" s="123"/>
    </row>
    <row r="42" spans="1:5" ht="21.95" customHeight="1" x14ac:dyDescent="0.3">
      <c r="A42" s="119" t="s">
        <v>49</v>
      </c>
      <c r="B42" s="128"/>
      <c r="C42" s="122"/>
      <c r="E42" s="123"/>
    </row>
    <row r="43" spans="1:5" ht="21.95" customHeight="1" x14ac:dyDescent="0.3">
      <c r="A43" s="119" t="s">
        <v>50</v>
      </c>
      <c r="B43" s="128"/>
      <c r="C43" s="122">
        <v>289</v>
      </c>
      <c r="E43" s="123">
        <v>303</v>
      </c>
    </row>
    <row r="44" spans="1:5" ht="21.95" customHeight="1" x14ac:dyDescent="0.3">
      <c r="A44" s="119" t="s">
        <v>51</v>
      </c>
      <c r="B44" s="128"/>
      <c r="C44" s="122">
        <v>0</v>
      </c>
      <c r="E44" s="123">
        <v>0</v>
      </c>
    </row>
    <row r="45" spans="1:5" ht="21.95" customHeight="1" x14ac:dyDescent="0.3">
      <c r="A45" s="119" t="s">
        <v>52</v>
      </c>
      <c r="B45" s="128"/>
      <c r="C45" s="122">
        <v>13324</v>
      </c>
      <c r="E45" s="123">
        <v>14238</v>
      </c>
    </row>
    <row r="46" spans="1:5" ht="21.95" customHeight="1" x14ac:dyDescent="0.3">
      <c r="A46" s="119" t="s">
        <v>53</v>
      </c>
      <c r="B46" s="128"/>
      <c r="C46" s="124">
        <v>-12102</v>
      </c>
      <c r="E46" s="125">
        <v>-11444</v>
      </c>
    </row>
    <row r="47" spans="1:5" ht="21.95" customHeight="1" x14ac:dyDescent="0.3">
      <c r="A47" s="119" t="s">
        <v>54</v>
      </c>
      <c r="B47" s="128"/>
      <c r="C47" s="89">
        <f>SUM(C43:C46)</f>
        <v>1511</v>
      </c>
      <c r="E47" s="88">
        <f>SUM(E43:E46)</f>
        <v>3097</v>
      </c>
    </row>
    <row r="48" spans="1:5" ht="21.95" customHeight="1" x14ac:dyDescent="0.3">
      <c r="A48" s="119" t="s">
        <v>129</v>
      </c>
      <c r="B48" s="128"/>
      <c r="C48" s="124">
        <v>95</v>
      </c>
      <c r="D48" s="289"/>
      <c r="E48" s="283">
        <v>0</v>
      </c>
    </row>
    <row r="49" spans="1:17" ht="21.95" customHeight="1" x14ac:dyDescent="0.3">
      <c r="A49" s="119" t="s">
        <v>130</v>
      </c>
      <c r="B49" s="128"/>
      <c r="C49" s="124">
        <f>SUM(C47:C48)</f>
        <v>1606</v>
      </c>
      <c r="E49" s="125">
        <f>SUM(E47:E48)</f>
        <v>3097</v>
      </c>
    </row>
    <row r="50" spans="1:17" ht="21.95" customHeight="1" thickBot="1" x14ac:dyDescent="0.35">
      <c r="A50" s="119" t="s">
        <v>142</v>
      </c>
      <c r="B50" s="129"/>
      <c r="C50" s="96">
        <f>C49+C40</f>
        <v>47806</v>
      </c>
      <c r="E50" s="97">
        <f>E49+E40</f>
        <v>49304</v>
      </c>
    </row>
    <row r="51" spans="1:17" ht="21" thickTop="1" x14ac:dyDescent="0.3">
      <c r="A51" s="134"/>
      <c r="B51" s="112"/>
      <c r="C51" s="131"/>
      <c r="E51" s="131"/>
    </row>
    <row r="53" spans="1:17" s="40" customFormat="1" ht="23.25" x14ac:dyDescent="0.3">
      <c r="A53" s="219" t="s">
        <v>115</v>
      </c>
      <c r="H53" s="110"/>
      <c r="I53" s="109"/>
      <c r="Q53" s="109"/>
    </row>
    <row r="55" spans="1:17" s="40" customFormat="1" ht="23.25" x14ac:dyDescent="0.3">
      <c r="A55" s="219" t="s">
        <v>140</v>
      </c>
      <c r="H55" s="110"/>
      <c r="I55" s="109"/>
      <c r="Q55" s="109"/>
    </row>
    <row r="56" spans="1:17" s="40" customFormat="1" x14ac:dyDescent="0.3">
      <c r="A56" s="219" t="s">
        <v>156</v>
      </c>
      <c r="H56" s="110"/>
      <c r="I56" s="109"/>
      <c r="Q56" s="109"/>
    </row>
  </sheetData>
  <pageMargins left="0.75" right="0.2" top="0.25" bottom="0.35" header="0.25" footer="0.17"/>
  <pageSetup scale="47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4"/>
  <sheetViews>
    <sheetView view="pageBreakPreview" topLeftCell="A13" zoomScale="60" zoomScaleNormal="55" workbookViewId="0">
      <selection activeCell="H31" sqref="H31"/>
    </sheetView>
  </sheetViews>
  <sheetFormatPr defaultColWidth="16.88671875" defaultRowHeight="20.25" x14ac:dyDescent="0.3"/>
  <cols>
    <col min="1" max="1" width="93.33203125" style="138" customWidth="1"/>
    <col min="2" max="2" width="16.6640625" style="138" customWidth="1"/>
    <col min="3" max="3" width="3.21875" style="138" customWidth="1"/>
    <col min="4" max="4" width="16.6640625" style="138" customWidth="1"/>
    <col min="5" max="5" width="6" style="138" customWidth="1"/>
    <col min="6" max="16384" width="16.88671875" style="138"/>
  </cols>
  <sheetData>
    <row r="1" spans="1:4" x14ac:dyDescent="0.3">
      <c r="A1" s="136" t="s">
        <v>0</v>
      </c>
      <c r="B1" s="137"/>
      <c r="C1" s="137"/>
      <c r="D1" s="137"/>
    </row>
    <row r="2" spans="1:4" x14ac:dyDescent="0.3">
      <c r="A2" s="136" t="s">
        <v>55</v>
      </c>
      <c r="B2" s="139"/>
      <c r="C2" s="139"/>
      <c r="D2" s="139"/>
    </row>
    <row r="3" spans="1:4" x14ac:dyDescent="0.3">
      <c r="A3" s="136" t="s">
        <v>12</v>
      </c>
      <c r="B3" s="139"/>
      <c r="C3" s="139"/>
      <c r="D3" s="139"/>
    </row>
    <row r="4" spans="1:4" ht="12.75" customHeight="1" x14ac:dyDescent="0.3">
      <c r="A4" s="136"/>
      <c r="B4" s="137"/>
      <c r="C4" s="137"/>
      <c r="D4" s="140"/>
    </row>
    <row r="5" spans="1:4" ht="6" customHeight="1" x14ac:dyDescent="0.3">
      <c r="A5" s="136"/>
      <c r="B5" s="137"/>
      <c r="C5" s="137"/>
      <c r="D5" s="140"/>
    </row>
    <row r="6" spans="1:4" ht="21" thickBot="1" x14ac:dyDescent="0.35">
      <c r="A6" s="141"/>
      <c r="B6" s="403" t="s">
        <v>161</v>
      </c>
      <c r="C6" s="403"/>
      <c r="D6" s="403"/>
    </row>
    <row r="7" spans="1:4" ht="8.25" customHeight="1" x14ac:dyDescent="0.3">
      <c r="A7" s="141"/>
      <c r="B7" s="140"/>
      <c r="C7" s="140"/>
      <c r="D7" s="139"/>
    </row>
    <row r="8" spans="1:4" ht="25.5" customHeight="1" x14ac:dyDescent="0.3">
      <c r="A8" s="141"/>
      <c r="B8" s="243" t="s">
        <v>162</v>
      </c>
      <c r="C8" s="54"/>
      <c r="D8" s="243" t="s">
        <v>163</v>
      </c>
    </row>
    <row r="9" spans="1:4" ht="6" customHeight="1" x14ac:dyDescent="0.3">
      <c r="A9" s="141"/>
      <c r="B9" s="137"/>
      <c r="C9" s="137"/>
      <c r="D9" s="137"/>
    </row>
    <row r="10" spans="1:4" x14ac:dyDescent="0.3">
      <c r="A10" s="136" t="s">
        <v>56</v>
      </c>
      <c r="B10" s="142"/>
      <c r="C10" s="143"/>
      <c r="D10" s="144"/>
    </row>
    <row r="11" spans="1:4" x14ac:dyDescent="0.3">
      <c r="A11" s="145" t="s">
        <v>57</v>
      </c>
      <c r="B11" s="146">
        <v>5302</v>
      </c>
      <c r="C11" s="147"/>
      <c r="D11" s="274">
        <v>3605</v>
      </c>
    </row>
    <row r="12" spans="1:4" x14ac:dyDescent="0.3">
      <c r="A12" s="145" t="s">
        <v>58</v>
      </c>
      <c r="B12" s="130"/>
      <c r="C12" s="143"/>
      <c r="D12" s="131"/>
    </row>
    <row r="13" spans="1:4" x14ac:dyDescent="0.3">
      <c r="A13" s="148" t="s">
        <v>59</v>
      </c>
      <c r="B13" s="122">
        <v>1215</v>
      </c>
      <c r="C13" s="149"/>
      <c r="D13" s="123">
        <v>1026</v>
      </c>
    </row>
    <row r="14" spans="1:4" x14ac:dyDescent="0.3">
      <c r="A14" s="148" t="s">
        <v>23</v>
      </c>
      <c r="B14" s="122">
        <v>149</v>
      </c>
      <c r="C14" s="149"/>
      <c r="D14" s="123">
        <v>138</v>
      </c>
    </row>
    <row r="15" spans="1:4" x14ac:dyDescent="0.3">
      <c r="A15" s="148" t="s">
        <v>106</v>
      </c>
      <c r="B15" s="122">
        <v>99</v>
      </c>
      <c r="C15" s="149"/>
      <c r="D15" s="174">
        <v>102</v>
      </c>
    </row>
    <row r="16" spans="1:4" x14ac:dyDescent="0.3">
      <c r="A16" s="148" t="s">
        <v>222</v>
      </c>
      <c r="B16" s="122">
        <v>-152</v>
      </c>
      <c r="C16" s="149"/>
      <c r="D16" s="174">
        <v>-445</v>
      </c>
    </row>
    <row r="17" spans="1:4" x14ac:dyDescent="0.3">
      <c r="A17" s="148" t="s">
        <v>238</v>
      </c>
      <c r="B17" s="122">
        <v>-1242</v>
      </c>
      <c r="C17" s="149"/>
      <c r="D17" s="88">
        <v>0</v>
      </c>
    </row>
    <row r="18" spans="1:4" x14ac:dyDescent="0.3">
      <c r="A18" s="148" t="s">
        <v>125</v>
      </c>
      <c r="B18" s="122">
        <v>-104</v>
      </c>
      <c r="C18" s="149"/>
      <c r="D18" s="88">
        <v>0</v>
      </c>
    </row>
    <row r="19" spans="1:4" x14ac:dyDescent="0.3">
      <c r="A19" s="150" t="s">
        <v>60</v>
      </c>
    </row>
    <row r="20" spans="1:4" x14ac:dyDescent="0.3">
      <c r="A20" s="148" t="s">
        <v>61</v>
      </c>
      <c r="B20" s="122">
        <v>-811</v>
      </c>
      <c r="C20" s="149"/>
      <c r="D20" s="123">
        <v>-256</v>
      </c>
    </row>
    <row r="21" spans="1:4" x14ac:dyDescent="0.3">
      <c r="A21" s="148" t="s">
        <v>62</v>
      </c>
      <c r="B21" s="122">
        <v>-46</v>
      </c>
      <c r="C21" s="149"/>
      <c r="D21" s="123">
        <v>-398</v>
      </c>
    </row>
    <row r="22" spans="1:4" x14ac:dyDescent="0.3">
      <c r="A22" s="148" t="s">
        <v>63</v>
      </c>
      <c r="B22" s="122">
        <v>-188</v>
      </c>
      <c r="C22" s="149"/>
      <c r="D22" s="123">
        <v>-160</v>
      </c>
    </row>
    <row r="23" spans="1:4" x14ac:dyDescent="0.3">
      <c r="A23" s="148" t="s">
        <v>64</v>
      </c>
      <c r="B23" s="122">
        <v>3</v>
      </c>
      <c r="C23" s="149"/>
      <c r="D23" s="123">
        <v>-32</v>
      </c>
    </row>
    <row r="24" spans="1:4" x14ac:dyDescent="0.3">
      <c r="A24" s="148" t="s">
        <v>65</v>
      </c>
      <c r="B24" s="122">
        <v>1028</v>
      </c>
      <c r="C24" s="149"/>
      <c r="D24" s="123">
        <v>1068</v>
      </c>
    </row>
    <row r="25" spans="1:4" x14ac:dyDescent="0.3">
      <c r="A25" s="148" t="s">
        <v>66</v>
      </c>
      <c r="B25" s="122">
        <v>146</v>
      </c>
      <c r="C25" s="149"/>
      <c r="D25" s="123">
        <v>-48</v>
      </c>
    </row>
    <row r="26" spans="1:4" x14ac:dyDescent="0.3">
      <c r="A26" s="150" t="s">
        <v>24</v>
      </c>
      <c r="B26" s="124">
        <v>-210</v>
      </c>
      <c r="C26" s="149"/>
      <c r="D26" s="125">
        <v>501</v>
      </c>
    </row>
    <row r="27" spans="1:4" ht="21.75" customHeight="1" x14ac:dyDescent="0.3">
      <c r="A27" s="136" t="s">
        <v>139</v>
      </c>
      <c r="B27" s="124">
        <v>5189</v>
      </c>
      <c r="C27" s="149"/>
      <c r="D27" s="125">
        <f>SUM(D11:D26)</f>
        <v>5101</v>
      </c>
    </row>
    <row r="28" spans="1:4" ht="18.75" customHeight="1" x14ac:dyDescent="0.3">
      <c r="A28" s="141"/>
      <c r="B28" s="122"/>
      <c r="C28" s="149"/>
      <c r="D28" s="123"/>
    </row>
    <row r="29" spans="1:4" ht="18.75" customHeight="1" x14ac:dyDescent="0.3">
      <c r="A29" s="136" t="s">
        <v>67</v>
      </c>
      <c r="B29" s="122"/>
      <c r="C29" s="149"/>
      <c r="D29" s="123"/>
    </row>
    <row r="30" spans="1:4" x14ac:dyDescent="0.3">
      <c r="A30" s="137" t="s">
        <v>68</v>
      </c>
      <c r="B30" s="122">
        <v>-1063</v>
      </c>
      <c r="C30" s="149"/>
      <c r="D30" s="123">
        <v>-939</v>
      </c>
    </row>
    <row r="31" spans="1:4" ht="23.25" x14ac:dyDescent="0.3">
      <c r="A31" s="137" t="s">
        <v>168</v>
      </c>
      <c r="B31" s="122">
        <v>0</v>
      </c>
      <c r="C31" s="149"/>
      <c r="D31" s="123">
        <v>-9003</v>
      </c>
    </row>
    <row r="32" spans="1:4" x14ac:dyDescent="0.3">
      <c r="A32" s="151" t="s">
        <v>69</v>
      </c>
      <c r="B32" s="124">
        <v>78</v>
      </c>
      <c r="C32" s="149"/>
      <c r="D32" s="125">
        <v>208</v>
      </c>
    </row>
    <row r="33" spans="1:7" x14ac:dyDescent="0.3">
      <c r="A33" s="136" t="s">
        <v>112</v>
      </c>
      <c r="B33" s="152">
        <v>-985</v>
      </c>
      <c r="C33" s="153"/>
      <c r="D33" s="275">
        <f>SUM(D30:D32)</f>
        <v>-9734</v>
      </c>
    </row>
    <row r="34" spans="1:7" ht="21.75" customHeight="1" x14ac:dyDescent="0.3">
      <c r="A34" s="136"/>
      <c r="B34" s="154"/>
      <c r="C34" s="153"/>
      <c r="D34" s="276"/>
    </row>
    <row r="35" spans="1:7" ht="18.75" customHeight="1" x14ac:dyDescent="0.3">
      <c r="A35" s="136" t="s">
        <v>70</v>
      </c>
      <c r="B35" s="89"/>
      <c r="C35" s="155"/>
      <c r="D35" s="88"/>
    </row>
    <row r="36" spans="1:7" ht="18.75" customHeight="1" x14ac:dyDescent="0.3">
      <c r="A36" s="145" t="s">
        <v>239</v>
      </c>
      <c r="B36" s="89">
        <v>1800</v>
      </c>
      <c r="C36" s="155"/>
      <c r="D36" s="88">
        <v>0</v>
      </c>
    </row>
    <row r="37" spans="1:7" ht="18.75" customHeight="1" x14ac:dyDescent="0.3">
      <c r="A37" s="145" t="s">
        <v>223</v>
      </c>
      <c r="B37" s="89">
        <v>0</v>
      </c>
      <c r="C37" s="155"/>
      <c r="D37" s="88">
        <v>9101</v>
      </c>
    </row>
    <row r="38" spans="1:7" x14ac:dyDescent="0.3">
      <c r="A38" s="156" t="s">
        <v>119</v>
      </c>
      <c r="B38" s="89">
        <v>-952</v>
      </c>
      <c r="C38" s="155"/>
      <c r="D38" s="88">
        <v>0</v>
      </c>
      <c r="G38" s="156"/>
    </row>
    <row r="39" spans="1:7" ht="18.75" customHeight="1" x14ac:dyDescent="0.3">
      <c r="A39" s="145" t="s">
        <v>224</v>
      </c>
      <c r="B39" s="89">
        <v>0</v>
      </c>
      <c r="C39" s="155"/>
      <c r="D39" s="88">
        <v>6000</v>
      </c>
    </row>
    <row r="40" spans="1:7" x14ac:dyDescent="0.3">
      <c r="A40" s="156" t="s">
        <v>225</v>
      </c>
      <c r="B40" s="89">
        <v>0</v>
      </c>
      <c r="C40" s="155"/>
      <c r="D40" s="88">
        <v>-6000</v>
      </c>
    </row>
    <row r="41" spans="1:7" ht="18.75" customHeight="1" x14ac:dyDescent="0.3">
      <c r="A41" s="156" t="s">
        <v>71</v>
      </c>
      <c r="B41" s="89">
        <v>-2096</v>
      </c>
      <c r="C41" s="155"/>
      <c r="D41" s="88">
        <v>-3071</v>
      </c>
    </row>
    <row r="42" spans="1:7" x14ac:dyDescent="0.3">
      <c r="A42" s="156" t="s">
        <v>73</v>
      </c>
      <c r="B42" s="89">
        <v>-2048</v>
      </c>
      <c r="C42" s="155"/>
      <c r="D42" s="88">
        <v>-1932</v>
      </c>
    </row>
    <row r="43" spans="1:7" x14ac:dyDescent="0.3">
      <c r="A43" s="156" t="s">
        <v>72</v>
      </c>
      <c r="B43" s="89">
        <v>106</v>
      </c>
      <c r="C43" s="155"/>
      <c r="D43" s="88">
        <v>174</v>
      </c>
    </row>
    <row r="44" spans="1:7" x14ac:dyDescent="0.3">
      <c r="A44" s="156" t="s">
        <v>69</v>
      </c>
      <c r="B44" s="124">
        <v>-267</v>
      </c>
      <c r="C44" s="155"/>
      <c r="D44" s="125">
        <v>5</v>
      </c>
    </row>
    <row r="45" spans="1:7" x14ac:dyDescent="0.3">
      <c r="A45" s="136" t="s">
        <v>231</v>
      </c>
      <c r="B45" s="124">
        <v>-3457</v>
      </c>
      <c r="C45" s="149"/>
      <c r="D45" s="125">
        <f>SUM(D36:D44)</f>
        <v>4277</v>
      </c>
    </row>
    <row r="46" spans="1:7" ht="21.75" customHeight="1" x14ac:dyDescent="0.3">
      <c r="A46" s="145"/>
      <c r="B46" s="157"/>
      <c r="C46" s="155"/>
      <c r="D46" s="277"/>
    </row>
    <row r="47" spans="1:7" ht="18.75" customHeight="1" x14ac:dyDescent="0.3">
      <c r="A47" s="136" t="s">
        <v>74</v>
      </c>
      <c r="B47" s="89">
        <v>747</v>
      </c>
      <c r="C47" s="155"/>
      <c r="D47" s="88">
        <f>D27+D33+D45</f>
        <v>-356</v>
      </c>
    </row>
    <row r="48" spans="1:7" ht="18.75" customHeight="1" x14ac:dyDescent="0.3">
      <c r="A48" s="136" t="s">
        <v>75</v>
      </c>
      <c r="B48" s="124">
        <v>1090</v>
      </c>
      <c r="C48" s="155"/>
      <c r="D48" s="125">
        <v>1446</v>
      </c>
    </row>
    <row r="49" spans="1:9" ht="18.75" customHeight="1" thickBot="1" x14ac:dyDescent="0.35">
      <c r="A49" s="136" t="s">
        <v>76</v>
      </c>
      <c r="B49" s="158">
        <v>1837</v>
      </c>
      <c r="C49" s="147"/>
      <c r="D49" s="278">
        <f>SUM(D47:D48)</f>
        <v>1090</v>
      </c>
    </row>
    <row r="50" spans="1:9" ht="21.75" customHeight="1" thickTop="1" x14ac:dyDescent="0.3">
      <c r="B50" s="159"/>
    </row>
    <row r="51" spans="1:9" s="4" customFormat="1" ht="18.75" customHeight="1" x14ac:dyDescent="0.25">
      <c r="A51" s="400" t="s">
        <v>152</v>
      </c>
      <c r="B51" s="400"/>
      <c r="C51" s="400"/>
      <c r="D51" s="400"/>
      <c r="E51" s="291"/>
      <c r="F51" s="291"/>
      <c r="G51" s="291"/>
      <c r="H51" s="291"/>
      <c r="I51" s="291"/>
    </row>
    <row r="52" spans="1:9" x14ac:dyDescent="0.3">
      <c r="A52" s="292" t="s">
        <v>153</v>
      </c>
      <c r="B52" s="292"/>
      <c r="C52" s="292"/>
      <c r="D52" s="292"/>
    </row>
    <row r="53" spans="1:9" x14ac:dyDescent="0.3">
      <c r="A53" s="292"/>
      <c r="B53" s="292"/>
      <c r="C53" s="292"/>
      <c r="D53" s="292"/>
    </row>
    <row r="54" spans="1:9" s="4" customFormat="1" ht="18.75" customHeight="1" x14ac:dyDescent="0.25">
      <c r="A54" s="400" t="s">
        <v>184</v>
      </c>
      <c r="B54" s="400"/>
      <c r="C54" s="400"/>
      <c r="D54" s="400"/>
      <c r="E54" s="291"/>
      <c r="F54" s="291"/>
      <c r="G54" s="291"/>
      <c r="H54" s="291"/>
      <c r="I54" s="291"/>
    </row>
  </sheetData>
  <mergeCells count="3">
    <mergeCell ref="B6:D6"/>
    <mergeCell ref="A51:D51"/>
    <mergeCell ref="A54:D54"/>
  </mergeCells>
  <pageMargins left="0.75" right="0.2" top="0.25" bottom="0.35" header="0.25" footer="0.17"/>
  <pageSetup scale="54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4"/>
  <sheetViews>
    <sheetView zoomScale="55" zoomScaleNormal="55" workbookViewId="0">
      <selection activeCell="A26" sqref="A26"/>
    </sheetView>
  </sheetViews>
  <sheetFormatPr defaultColWidth="8.88671875" defaultRowHeight="20.25" x14ac:dyDescent="0.3"/>
  <cols>
    <col min="1" max="1" width="71" style="135" customWidth="1"/>
    <col min="2" max="2" width="15.6640625" style="135" customWidth="1"/>
    <col min="3" max="3" width="4" style="135" customWidth="1"/>
    <col min="4" max="4" width="12.44140625" style="135" customWidth="1"/>
    <col min="5" max="5" width="4" style="135" customWidth="1"/>
    <col min="6" max="6" width="15.88671875" style="135" customWidth="1"/>
    <col min="7" max="7" width="4" style="135" customWidth="1"/>
    <col min="8" max="8" width="17.109375" style="135" customWidth="1"/>
    <col min="9" max="9" width="4" style="135" customWidth="1"/>
    <col min="10" max="10" width="17.21875" style="135" customWidth="1"/>
    <col min="11" max="11" width="4" style="135" customWidth="1"/>
    <col min="12" max="12" width="12.44140625" style="135" customWidth="1"/>
    <col min="13" max="13" width="4" style="135" customWidth="1"/>
    <col min="14" max="14" width="17.21875" style="135" customWidth="1"/>
    <col min="15" max="15" width="16" style="135" customWidth="1"/>
    <col min="16" max="16384" width="8.88671875" style="135"/>
  </cols>
  <sheetData>
    <row r="1" spans="1:14" x14ac:dyDescent="0.3">
      <c r="A1" s="111" t="s">
        <v>0</v>
      </c>
      <c r="B1" s="160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x14ac:dyDescent="0.3">
      <c r="A2" s="111" t="s">
        <v>155</v>
      </c>
      <c r="B2" s="160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x14ac:dyDescent="0.3">
      <c r="A3" s="111" t="s">
        <v>12</v>
      </c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x14ac:dyDescent="0.3">
      <c r="A4" s="111"/>
      <c r="B4" s="16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x14ac:dyDescent="0.3">
      <c r="A5" s="162"/>
      <c r="B5" s="163"/>
      <c r="C5" s="163"/>
      <c r="D5" s="163"/>
      <c r="E5" s="163"/>
      <c r="F5" s="164"/>
      <c r="G5" s="164"/>
      <c r="H5" s="164"/>
      <c r="I5" s="163"/>
      <c r="J5" s="164"/>
      <c r="K5" s="163"/>
      <c r="L5" s="163"/>
      <c r="M5" s="163"/>
      <c r="N5" s="164"/>
    </row>
    <row r="6" spans="1:14" x14ac:dyDescent="0.3">
      <c r="A6" s="165"/>
      <c r="B6" s="165"/>
      <c r="C6" s="165"/>
      <c r="D6" s="165"/>
      <c r="E6" s="165"/>
      <c r="F6" s="165"/>
      <c r="G6" s="165"/>
      <c r="H6" s="166" t="s">
        <v>77</v>
      </c>
      <c r="I6" s="165"/>
      <c r="J6" s="165"/>
      <c r="K6" s="165"/>
      <c r="L6" s="165"/>
      <c r="M6" s="165"/>
      <c r="N6" s="165"/>
    </row>
    <row r="7" spans="1:14" x14ac:dyDescent="0.3">
      <c r="A7" s="165"/>
      <c r="B7" s="168"/>
      <c r="C7" s="165"/>
      <c r="D7" s="168" t="s">
        <v>78</v>
      </c>
      <c r="E7" s="165"/>
      <c r="F7" s="165"/>
      <c r="G7" s="165"/>
      <c r="H7" s="166" t="s">
        <v>79</v>
      </c>
      <c r="I7" s="165"/>
      <c r="J7" s="168" t="s">
        <v>80</v>
      </c>
      <c r="K7" s="165"/>
      <c r="L7" s="168" t="s">
        <v>243</v>
      </c>
      <c r="M7" s="165"/>
      <c r="N7" s="168"/>
    </row>
    <row r="8" spans="1:14" x14ac:dyDescent="0.3">
      <c r="A8" s="165"/>
      <c r="B8" s="168" t="s">
        <v>81</v>
      </c>
      <c r="C8" s="169"/>
      <c r="D8" s="168" t="s">
        <v>82</v>
      </c>
      <c r="E8" s="169"/>
      <c r="F8" s="168" t="s">
        <v>83</v>
      </c>
      <c r="G8" s="165"/>
      <c r="H8" s="166" t="s">
        <v>84</v>
      </c>
      <c r="I8" s="169"/>
      <c r="J8" s="168" t="s">
        <v>85</v>
      </c>
      <c r="K8" s="169"/>
      <c r="L8" s="168" t="s">
        <v>131</v>
      </c>
      <c r="M8" s="169"/>
      <c r="N8" s="168" t="s">
        <v>80</v>
      </c>
    </row>
    <row r="9" spans="1:14" ht="21" thickBot="1" x14ac:dyDescent="0.35">
      <c r="A9" s="165"/>
      <c r="B9" s="170" t="s">
        <v>86</v>
      </c>
      <c r="C9" s="167"/>
      <c r="D9" s="170" t="s">
        <v>87</v>
      </c>
      <c r="E9" s="167"/>
      <c r="F9" s="170" t="s">
        <v>88</v>
      </c>
      <c r="G9" s="167"/>
      <c r="H9" s="170" t="s">
        <v>89</v>
      </c>
      <c r="I9" s="167"/>
      <c r="J9" s="170" t="s">
        <v>90</v>
      </c>
      <c r="K9" s="167"/>
      <c r="L9" s="170" t="s">
        <v>132</v>
      </c>
      <c r="M9" s="167"/>
      <c r="N9" s="170" t="s">
        <v>90</v>
      </c>
    </row>
    <row r="10" spans="1:14" x14ac:dyDescent="0.3">
      <c r="A10" s="165"/>
      <c r="B10" s="165"/>
      <c r="C10" s="165"/>
      <c r="D10" s="165"/>
      <c r="E10" s="165"/>
      <c r="F10" s="165"/>
      <c r="G10" s="165"/>
      <c r="H10" s="171"/>
      <c r="I10" s="165"/>
      <c r="J10" s="165"/>
      <c r="K10" s="165"/>
      <c r="L10" s="165"/>
      <c r="M10" s="165"/>
      <c r="N10" s="165"/>
    </row>
    <row r="11" spans="1:14" x14ac:dyDescent="0.3">
      <c r="A11" s="165"/>
      <c r="B11" s="165"/>
      <c r="C11" s="165"/>
      <c r="D11" s="165"/>
      <c r="E11" s="165"/>
      <c r="F11" s="165"/>
      <c r="G11" s="165"/>
      <c r="H11" s="167"/>
      <c r="I11" s="165"/>
      <c r="J11" s="165"/>
      <c r="K11" s="165"/>
      <c r="L11" s="165"/>
      <c r="M11" s="165"/>
      <c r="N11" s="165"/>
    </row>
    <row r="12" spans="1:14" ht="23.25" x14ac:dyDescent="0.35">
      <c r="A12" s="167" t="s">
        <v>111</v>
      </c>
      <c r="B12" s="61">
        <v>303</v>
      </c>
      <c r="C12" s="61"/>
      <c r="D12" s="172" t="s">
        <v>91</v>
      </c>
      <c r="E12" s="61"/>
      <c r="F12" s="61">
        <v>14238</v>
      </c>
      <c r="G12" s="61"/>
      <c r="H12" s="61">
        <v>-11444</v>
      </c>
      <c r="I12" s="61"/>
      <c r="J12" s="61">
        <v>3097</v>
      </c>
      <c r="K12" s="61"/>
      <c r="L12" s="172" t="s">
        <v>91</v>
      </c>
      <c r="M12" s="61"/>
      <c r="N12" s="61">
        <v>3097</v>
      </c>
    </row>
    <row r="13" spans="1:14" ht="6" customHeight="1" x14ac:dyDescent="0.3">
      <c r="A13" s="165"/>
      <c r="B13" s="176"/>
      <c r="C13" s="176"/>
      <c r="D13" s="176"/>
      <c r="E13" s="176"/>
      <c r="F13" s="176"/>
      <c r="H13" s="174"/>
      <c r="I13" s="176"/>
      <c r="J13" s="179"/>
      <c r="K13" s="176"/>
      <c r="L13" s="176"/>
      <c r="M13" s="176"/>
      <c r="N13" s="179"/>
    </row>
    <row r="14" spans="1:14" ht="23.25" customHeight="1" x14ac:dyDescent="0.3">
      <c r="A14" s="173" t="s">
        <v>57</v>
      </c>
      <c r="B14" s="174">
        <v>0</v>
      </c>
      <c r="C14" s="175"/>
      <c r="D14" s="176">
        <v>0</v>
      </c>
      <c r="E14" s="177"/>
      <c r="F14" s="176">
        <v>5302</v>
      </c>
      <c r="G14" s="175"/>
      <c r="H14" s="174">
        <v>0</v>
      </c>
      <c r="I14" s="177"/>
      <c r="J14" s="176">
        <v>5302</v>
      </c>
      <c r="K14" s="175"/>
      <c r="L14" s="176">
        <v>0</v>
      </c>
      <c r="M14" s="177"/>
      <c r="N14" s="176">
        <v>5302</v>
      </c>
    </row>
    <row r="15" spans="1:14" ht="6" customHeight="1" x14ac:dyDescent="0.3">
      <c r="B15" s="176"/>
      <c r="C15" s="176"/>
      <c r="D15" s="176"/>
      <c r="E15" s="176"/>
      <c r="F15" s="176"/>
      <c r="H15" s="174"/>
      <c r="I15" s="176"/>
      <c r="J15" s="179"/>
      <c r="K15" s="176"/>
      <c r="L15" s="176"/>
      <c r="M15" s="176"/>
      <c r="N15" s="179"/>
    </row>
    <row r="16" spans="1:14" ht="23.25" x14ac:dyDescent="0.3">
      <c r="A16" s="173" t="s">
        <v>240</v>
      </c>
      <c r="B16" s="174">
        <v>0</v>
      </c>
      <c r="C16" s="175"/>
      <c r="D16" s="176">
        <v>0</v>
      </c>
      <c r="E16" s="177"/>
      <c r="F16" s="176">
        <v>0</v>
      </c>
      <c r="G16" s="175"/>
      <c r="H16" s="174">
        <f>-687+29</f>
        <v>-658</v>
      </c>
      <c r="I16" s="177"/>
      <c r="J16" s="176">
        <v>-658</v>
      </c>
      <c r="K16" s="175"/>
      <c r="L16" s="176">
        <v>0</v>
      </c>
      <c r="M16" s="177"/>
      <c r="N16" s="176">
        <v>-658</v>
      </c>
    </row>
    <row r="17" spans="1:14" ht="6" customHeight="1" x14ac:dyDescent="0.3">
      <c r="B17" s="176"/>
      <c r="C17" s="176"/>
      <c r="D17" s="176"/>
      <c r="E17" s="176"/>
      <c r="F17" s="176"/>
      <c r="H17" s="174"/>
      <c r="I17" s="176"/>
      <c r="J17" s="179"/>
      <c r="K17" s="176"/>
      <c r="L17" s="176"/>
      <c r="M17" s="176"/>
      <c r="N17" s="179"/>
    </row>
    <row r="18" spans="1:14" ht="46.5" customHeight="1" x14ac:dyDescent="0.3">
      <c r="A18" s="290" t="s">
        <v>241</v>
      </c>
      <c r="B18" s="174">
        <v>-9</v>
      </c>
      <c r="C18" s="175"/>
      <c r="D18" s="176">
        <v>0</v>
      </c>
      <c r="E18" s="177"/>
      <c r="F18" s="176">
        <v>-2488</v>
      </c>
      <c r="G18" s="175"/>
      <c r="H18" s="174">
        <v>0</v>
      </c>
      <c r="I18" s="177"/>
      <c r="J18" s="176">
        <v>-2497</v>
      </c>
      <c r="K18" s="175"/>
      <c r="L18" s="176">
        <v>0</v>
      </c>
      <c r="M18" s="177"/>
      <c r="N18" s="176">
        <v>-2497</v>
      </c>
    </row>
    <row r="19" spans="1:14" ht="6" customHeight="1" x14ac:dyDescent="0.3">
      <c r="B19" s="178"/>
      <c r="C19" s="178"/>
      <c r="D19" s="178"/>
      <c r="E19" s="178"/>
      <c r="F19" s="178"/>
      <c r="G19" s="178"/>
      <c r="H19" s="178"/>
      <c r="I19" s="178"/>
      <c r="J19" s="180"/>
      <c r="K19" s="178"/>
      <c r="L19" s="178"/>
      <c r="M19" s="178"/>
      <c r="N19" s="180"/>
    </row>
    <row r="20" spans="1:14" ht="23.25" customHeight="1" x14ac:dyDescent="0.3">
      <c r="A20" s="173" t="s">
        <v>92</v>
      </c>
      <c r="B20" s="174">
        <v>-9</v>
      </c>
      <c r="C20" s="175"/>
      <c r="D20" s="176">
        <v>-395</v>
      </c>
      <c r="E20" s="177"/>
      <c r="F20" s="176">
        <v>-1692</v>
      </c>
      <c r="G20" s="175"/>
      <c r="H20" s="174">
        <v>0</v>
      </c>
      <c r="I20" s="177"/>
      <c r="J20" s="176">
        <v>-2096</v>
      </c>
      <c r="K20" s="175"/>
      <c r="L20" s="176">
        <v>0</v>
      </c>
      <c r="M20" s="177"/>
      <c r="N20" s="176">
        <v>-2096</v>
      </c>
    </row>
    <row r="21" spans="1:14" ht="6" customHeight="1" x14ac:dyDescent="0.3">
      <c r="B21" s="176"/>
      <c r="C21" s="176"/>
      <c r="D21" s="176"/>
      <c r="E21" s="176"/>
      <c r="F21" s="176"/>
      <c r="H21" s="174"/>
      <c r="I21" s="176"/>
      <c r="J21" s="179"/>
      <c r="K21" s="176"/>
      <c r="L21" s="176"/>
      <c r="M21" s="176"/>
      <c r="N21" s="179"/>
    </row>
    <row r="22" spans="1:14" ht="23.25" customHeight="1" x14ac:dyDescent="0.3">
      <c r="A22" s="173" t="s">
        <v>93</v>
      </c>
      <c r="B22" s="174">
        <v>0</v>
      </c>
      <c r="C22" s="175"/>
      <c r="D22" s="176">
        <v>0</v>
      </c>
      <c r="E22" s="177"/>
      <c r="F22" s="176">
        <v>-2036</v>
      </c>
      <c r="G22" s="175"/>
      <c r="H22" s="174">
        <v>0</v>
      </c>
      <c r="I22" s="177"/>
      <c r="J22" s="176">
        <v>-2036</v>
      </c>
      <c r="K22" s="175"/>
      <c r="L22" s="176">
        <v>0</v>
      </c>
      <c r="M22" s="177"/>
      <c r="N22" s="176">
        <v>-2036</v>
      </c>
    </row>
    <row r="23" spans="1:14" ht="6" customHeight="1" x14ac:dyDescent="0.3">
      <c r="A23" s="173"/>
      <c r="B23" s="174"/>
      <c r="C23" s="175"/>
      <c r="D23" s="176"/>
      <c r="E23" s="177"/>
      <c r="F23" s="176"/>
      <c r="G23" s="175"/>
      <c r="H23" s="174"/>
      <c r="I23" s="177"/>
      <c r="J23" s="176"/>
      <c r="K23" s="175"/>
      <c r="L23" s="176"/>
      <c r="M23" s="177"/>
      <c r="N23" s="176"/>
    </row>
    <row r="24" spans="1:14" ht="23.25" customHeight="1" x14ac:dyDescent="0.3">
      <c r="A24" s="173" t="s">
        <v>151</v>
      </c>
      <c r="B24" s="174">
        <v>4</v>
      </c>
      <c r="C24" s="175"/>
      <c r="D24" s="174">
        <v>395</v>
      </c>
      <c r="E24" s="177"/>
      <c r="F24" s="174">
        <v>0</v>
      </c>
      <c r="G24" s="175"/>
      <c r="H24" s="174">
        <v>0</v>
      </c>
      <c r="I24" s="177"/>
      <c r="J24" s="176">
        <v>399</v>
      </c>
      <c r="K24" s="175"/>
      <c r="L24" s="174">
        <v>0</v>
      </c>
      <c r="M24" s="177"/>
      <c r="N24" s="174">
        <v>399</v>
      </c>
    </row>
    <row r="25" spans="1:14" ht="6" customHeight="1" x14ac:dyDescent="0.3">
      <c r="A25" s="173"/>
      <c r="B25" s="174"/>
      <c r="C25" s="175"/>
      <c r="D25" s="174"/>
      <c r="E25" s="177"/>
      <c r="F25" s="174"/>
      <c r="G25" s="175"/>
      <c r="H25" s="174"/>
      <c r="I25" s="177"/>
      <c r="J25" s="176"/>
      <c r="K25" s="175"/>
      <c r="L25" s="174"/>
      <c r="M25" s="177"/>
      <c r="N25" s="174"/>
    </row>
    <row r="26" spans="1:14" ht="23.25" customHeight="1" x14ac:dyDescent="0.3">
      <c r="A26" s="173" t="s">
        <v>242</v>
      </c>
      <c r="B26" s="174">
        <v>0</v>
      </c>
      <c r="C26" s="175"/>
      <c r="D26" s="176">
        <v>0</v>
      </c>
      <c r="E26" s="177"/>
      <c r="F26" s="176">
        <v>0</v>
      </c>
      <c r="G26" s="175"/>
      <c r="H26" s="174">
        <v>0</v>
      </c>
      <c r="I26" s="177"/>
      <c r="J26" s="176">
        <v>0</v>
      </c>
      <c r="K26" s="175"/>
      <c r="L26" s="176">
        <v>95</v>
      </c>
      <c r="M26" s="177"/>
      <c r="N26" s="176">
        <v>95</v>
      </c>
    </row>
    <row r="27" spans="1:14" ht="6" customHeight="1" x14ac:dyDescent="0.3">
      <c r="A27" s="165"/>
      <c r="B27" s="181"/>
      <c r="C27" s="165"/>
      <c r="D27" s="181"/>
      <c r="E27" s="165"/>
      <c r="F27" s="181"/>
      <c r="G27" s="165"/>
      <c r="H27" s="181"/>
      <c r="I27" s="165"/>
      <c r="J27" s="182"/>
      <c r="K27" s="165"/>
      <c r="L27" s="181"/>
      <c r="M27" s="165"/>
      <c r="N27" s="182"/>
    </row>
    <row r="28" spans="1:14" x14ac:dyDescent="0.3">
      <c r="A28" s="167" t="s">
        <v>164</v>
      </c>
      <c r="B28" s="61">
        <v>289</v>
      </c>
      <c r="C28" s="61"/>
      <c r="D28" s="295">
        <v>0</v>
      </c>
      <c r="E28" s="61"/>
      <c r="F28" s="61">
        <v>13324</v>
      </c>
      <c r="G28" s="61"/>
      <c r="H28" s="61">
        <v>-12102</v>
      </c>
      <c r="I28" s="61"/>
      <c r="J28" s="61">
        <v>1511</v>
      </c>
      <c r="K28" s="61"/>
      <c r="L28" s="61">
        <v>95</v>
      </c>
      <c r="M28" s="61"/>
      <c r="N28" s="61">
        <v>1606</v>
      </c>
    </row>
    <row r="29" spans="1:14" ht="4.5" customHeight="1" thickBot="1" x14ac:dyDescent="0.35">
      <c r="A29" s="183"/>
      <c r="B29" s="184"/>
      <c r="C29" s="185"/>
      <c r="D29" s="184"/>
      <c r="E29" s="185"/>
      <c r="F29" s="184"/>
      <c r="G29" s="185"/>
      <c r="H29" s="186"/>
      <c r="I29" s="185"/>
      <c r="J29" s="184"/>
      <c r="K29" s="185"/>
      <c r="L29" s="184"/>
      <c r="M29" s="185"/>
      <c r="N29" s="184"/>
    </row>
    <row r="30" spans="1:14" ht="12.75" customHeight="1" thickTop="1" x14ac:dyDescent="0.3"/>
    <row r="31" spans="1:14" x14ac:dyDescent="0.3">
      <c r="A31" s="18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s="188" customFormat="1" ht="23.25" x14ac:dyDescent="0.3">
      <c r="A32" s="188" t="s">
        <v>110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</row>
    <row r="33" spans="1:14" s="188" customFormat="1" ht="3.75" customHeight="1" x14ac:dyDescent="0.3"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188" customFormat="1" ht="23.25" x14ac:dyDescent="0.3">
      <c r="A34" s="188" t="s">
        <v>159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</row>
    <row r="35" spans="1:14" s="188" customFormat="1" x14ac:dyDescent="0.3">
      <c r="A35" s="188" t="s">
        <v>167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188" customFormat="1" ht="18" customHeight="1" x14ac:dyDescent="0.3">
      <c r="A36" s="173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</row>
    <row r="37" spans="1:14" x14ac:dyDescent="0.3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4" x14ac:dyDescent="0.3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42" spans="1:14" x14ac:dyDescent="0.3">
      <c r="B42" s="190"/>
      <c r="D42" s="190"/>
      <c r="F42" s="190"/>
      <c r="H42" s="190"/>
      <c r="J42" s="190"/>
      <c r="L42" s="190"/>
      <c r="N42" s="190"/>
    </row>
    <row r="44" spans="1:14" x14ac:dyDescent="0.3">
      <c r="A44" s="47"/>
    </row>
  </sheetData>
  <pageMargins left="0.75" right="0.2" top="0.25" bottom="0.35" header="0.25" footer="0.17"/>
  <pageSetup scale="49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2:M24"/>
  <sheetViews>
    <sheetView zoomScale="70" zoomScaleNormal="70" zoomScaleSheetLayoutView="75" workbookViewId="0">
      <selection activeCell="B18" sqref="B18:J23"/>
    </sheetView>
  </sheetViews>
  <sheetFormatPr defaultColWidth="10.88671875" defaultRowHeight="18" x14ac:dyDescent="0.25"/>
  <cols>
    <col min="1" max="1" width="3.109375" style="194" customWidth="1"/>
    <col min="2" max="2" width="24" style="194" customWidth="1"/>
    <col min="3" max="3" width="17.109375" style="194" customWidth="1"/>
    <col min="4" max="4" width="14.77734375" style="194" customWidth="1"/>
    <col min="5" max="5" width="3.77734375" style="225" customWidth="1"/>
    <col min="6" max="6" width="14.77734375" style="194" customWidth="1"/>
    <col min="7" max="7" width="4.77734375" style="196" customWidth="1"/>
    <col min="8" max="8" width="14.77734375" style="194" customWidth="1"/>
    <col min="9" max="9" width="3.77734375" style="225" customWidth="1"/>
    <col min="10" max="10" width="14.77734375" style="194" customWidth="1"/>
    <col min="11" max="16384" width="10.88671875" style="194"/>
  </cols>
  <sheetData>
    <row r="2" spans="2:10" x14ac:dyDescent="0.25">
      <c r="B2" s="191" t="s">
        <v>0</v>
      </c>
      <c r="C2" s="192"/>
      <c r="D2" s="192"/>
      <c r="E2" s="224"/>
      <c r="F2" s="192"/>
      <c r="G2" s="193"/>
      <c r="H2" s="192"/>
      <c r="I2" s="224"/>
      <c r="J2" s="192"/>
    </row>
    <row r="3" spans="2:10" x14ac:dyDescent="0.25">
      <c r="B3" s="191" t="s">
        <v>94</v>
      </c>
      <c r="C3" s="195"/>
    </row>
    <row r="4" spans="2:10" x14ac:dyDescent="0.25">
      <c r="B4" s="197" t="s">
        <v>95</v>
      </c>
      <c r="C4" s="250"/>
      <c r="D4" s="251"/>
      <c r="E4" s="226"/>
      <c r="F4" s="251"/>
      <c r="G4" s="252"/>
      <c r="H4" s="251"/>
      <c r="I4" s="226"/>
      <c r="J4" s="251"/>
    </row>
    <row r="5" spans="2:10" x14ac:dyDescent="0.25">
      <c r="B5" s="198"/>
      <c r="C5" s="195"/>
      <c r="D5" s="192"/>
      <c r="E5" s="224"/>
      <c r="F5" s="192"/>
      <c r="G5" s="193"/>
      <c r="H5" s="192"/>
      <c r="I5" s="224"/>
      <c r="J5" s="192"/>
    </row>
    <row r="6" spans="2:10" x14ac:dyDescent="0.25">
      <c r="B6" s="191"/>
      <c r="C6" s="195"/>
      <c r="D6" s="192"/>
      <c r="E6" s="224"/>
      <c r="F6" s="192"/>
      <c r="G6" s="193"/>
      <c r="H6" s="192"/>
      <c r="I6" s="224"/>
      <c r="J6" s="192"/>
    </row>
    <row r="7" spans="2:10" x14ac:dyDescent="0.25">
      <c r="B7" s="199"/>
      <c r="C7" s="199"/>
      <c r="D7" s="200"/>
      <c r="E7" s="227"/>
      <c r="F7" s="201"/>
      <c r="G7" s="253"/>
      <c r="H7" s="200"/>
      <c r="I7" s="227"/>
      <c r="J7" s="201"/>
    </row>
    <row r="8" spans="2:10" ht="36.75" thickBot="1" x14ac:dyDescent="0.3">
      <c r="B8" s="198" t="s">
        <v>96</v>
      </c>
      <c r="C8" s="202"/>
      <c r="D8" s="203" t="s">
        <v>165</v>
      </c>
      <c r="E8" s="228"/>
      <c r="F8" s="203" t="s">
        <v>116</v>
      </c>
      <c r="G8" s="204"/>
      <c r="H8" s="192"/>
      <c r="I8" s="224"/>
      <c r="J8" s="192"/>
    </row>
    <row r="9" spans="2:10" s="196" customFormat="1" ht="21.75" customHeight="1" x14ac:dyDescent="0.25">
      <c r="B9" s="205" t="s">
        <v>97</v>
      </c>
      <c r="C9" s="205"/>
      <c r="D9" s="206">
        <v>34200</v>
      </c>
      <c r="E9" s="207"/>
      <c r="F9" s="232">
        <v>31800</v>
      </c>
      <c r="G9" s="207"/>
      <c r="H9" s="192"/>
      <c r="I9" s="224"/>
      <c r="J9" s="192"/>
    </row>
    <row r="10" spans="2:10" s="196" customFormat="1" ht="21.75" customHeight="1" x14ac:dyDescent="0.25">
      <c r="B10" s="205" t="s">
        <v>98</v>
      </c>
      <c r="C10" s="205"/>
      <c r="D10" s="208">
        <v>14700</v>
      </c>
      <c r="E10" s="207"/>
      <c r="F10" s="233">
        <v>15500</v>
      </c>
      <c r="G10" s="207"/>
      <c r="H10" s="192"/>
      <c r="I10" s="224"/>
      <c r="J10" s="192"/>
    </row>
    <row r="11" spans="2:10" s="196" customFormat="1" ht="21.75" customHeight="1" x14ac:dyDescent="0.25">
      <c r="B11" s="205" t="s">
        <v>126</v>
      </c>
      <c r="C11" s="205"/>
      <c r="D11" s="208">
        <v>28400</v>
      </c>
      <c r="E11" s="207"/>
      <c r="F11" s="233">
        <v>30100</v>
      </c>
      <c r="G11" s="207"/>
      <c r="H11" s="192"/>
      <c r="I11" s="224"/>
      <c r="J11" s="192"/>
    </row>
    <row r="12" spans="2:10" ht="21.75" customHeight="1" x14ac:dyDescent="0.25">
      <c r="B12" s="205" t="s">
        <v>99</v>
      </c>
      <c r="C12" s="209"/>
      <c r="D12" s="210">
        <v>18900</v>
      </c>
      <c r="E12" s="229"/>
      <c r="F12" s="234">
        <v>17400</v>
      </c>
      <c r="G12" s="211"/>
      <c r="H12" s="192"/>
      <c r="I12" s="224"/>
      <c r="J12" s="192"/>
    </row>
    <row r="13" spans="2:10" ht="21.75" customHeight="1" thickBot="1" x14ac:dyDescent="0.3">
      <c r="B13" s="212" t="s">
        <v>100</v>
      </c>
      <c r="C13" s="212"/>
      <c r="D13" s="213">
        <f>SUM(D9:D12)</f>
        <v>96200</v>
      </c>
      <c r="E13" s="207"/>
      <c r="F13" s="235">
        <f>SUM(F9:F12)</f>
        <v>94800</v>
      </c>
      <c r="G13" s="214"/>
      <c r="H13" s="192"/>
      <c r="I13" s="224"/>
      <c r="J13" s="192"/>
    </row>
    <row r="14" spans="2:10" ht="18.75" thickTop="1" x14ac:dyDescent="0.25">
      <c r="B14" s="212"/>
      <c r="C14" s="212"/>
      <c r="D14" s="215"/>
      <c r="E14" s="230"/>
      <c r="F14" s="215"/>
      <c r="G14" s="214"/>
      <c r="H14" s="192"/>
      <c r="I14" s="224"/>
      <c r="J14" s="192"/>
    </row>
    <row r="15" spans="2:10" x14ac:dyDescent="0.25">
      <c r="B15" s="212"/>
      <c r="C15" s="214"/>
      <c r="D15" s="255"/>
      <c r="E15" s="230"/>
      <c r="F15" s="255"/>
      <c r="G15" s="214"/>
      <c r="H15" s="255"/>
      <c r="I15" s="230"/>
      <c r="J15" s="255"/>
    </row>
    <row r="16" spans="2:10" x14ac:dyDescent="0.25">
      <c r="B16" s="212"/>
      <c r="C16" s="212"/>
      <c r="D16" s="215"/>
      <c r="E16" s="230"/>
      <c r="F16" s="215"/>
      <c r="G16" s="214"/>
      <c r="H16" s="215"/>
      <c r="I16" s="230"/>
      <c r="J16" s="215"/>
    </row>
    <row r="17" spans="2:13" x14ac:dyDescent="0.25">
      <c r="B17" s="212"/>
      <c r="C17" s="212"/>
      <c r="D17" s="254"/>
      <c r="E17" s="212"/>
      <c r="F17" s="254"/>
      <c r="G17" s="214"/>
      <c r="H17" s="254"/>
      <c r="I17" s="212"/>
      <c r="J17" s="254"/>
    </row>
    <row r="18" spans="2:13" ht="18.75" thickBot="1" x14ac:dyDescent="0.3">
      <c r="B18" s="212"/>
      <c r="C18" s="212"/>
      <c r="D18" s="404" t="s">
        <v>113</v>
      </c>
      <c r="E18" s="404"/>
      <c r="F18" s="404"/>
      <c r="G18" s="216"/>
      <c r="H18" s="404" t="s">
        <v>166</v>
      </c>
      <c r="I18" s="404"/>
      <c r="J18" s="404"/>
    </row>
    <row r="19" spans="2:13" ht="36" x14ac:dyDescent="0.25">
      <c r="B19" s="195" t="s">
        <v>101</v>
      </c>
      <c r="C19" s="248"/>
      <c r="D19" s="244" t="s">
        <v>165</v>
      </c>
      <c r="E19" s="245"/>
      <c r="F19" s="244" t="s">
        <v>116</v>
      </c>
      <c r="H19" s="244" t="s">
        <v>165</v>
      </c>
      <c r="I19" s="245"/>
      <c r="J19" s="244" t="s">
        <v>116</v>
      </c>
      <c r="K19" s="196"/>
      <c r="L19" s="196"/>
      <c r="M19" s="196"/>
    </row>
    <row r="20" spans="2:13" x14ac:dyDescent="0.25">
      <c r="B20" s="217" t="s">
        <v>102</v>
      </c>
      <c r="C20" s="248"/>
      <c r="D20" s="231">
        <v>4</v>
      </c>
      <c r="E20" s="246"/>
      <c r="F20" s="218">
        <v>2</v>
      </c>
      <c r="H20" s="231">
        <v>12</v>
      </c>
      <c r="I20" s="246"/>
      <c r="J20" s="218">
        <v>11</v>
      </c>
      <c r="K20" s="196"/>
      <c r="L20" s="196"/>
      <c r="M20" s="196"/>
    </row>
    <row r="21" spans="2:13" ht="22.5" customHeight="1" x14ac:dyDescent="0.25">
      <c r="B21" s="217" t="s">
        <v>103</v>
      </c>
      <c r="C21" s="249"/>
      <c r="D21" s="231">
        <v>16</v>
      </c>
      <c r="E21" s="247"/>
      <c r="F21" s="218">
        <v>14</v>
      </c>
      <c r="H21" s="231">
        <v>46</v>
      </c>
      <c r="I21" s="247"/>
      <c r="J21" s="218">
        <v>45</v>
      </c>
      <c r="K21" s="196"/>
      <c r="L21" s="196"/>
      <c r="M21" s="196"/>
    </row>
    <row r="22" spans="2:13" ht="22.5" customHeight="1" x14ac:dyDescent="0.25">
      <c r="B22" s="217" t="s">
        <v>104</v>
      </c>
      <c r="C22" s="249"/>
      <c r="D22" s="231">
        <v>8</v>
      </c>
      <c r="E22" s="247"/>
      <c r="F22" s="218">
        <v>7</v>
      </c>
      <c r="H22" s="231">
        <v>24</v>
      </c>
      <c r="I22" s="247"/>
      <c r="J22" s="218">
        <v>21</v>
      </c>
      <c r="K22" s="196"/>
      <c r="L22" s="196"/>
      <c r="M22" s="196"/>
    </row>
    <row r="23" spans="2:13" ht="22.5" customHeight="1" x14ac:dyDescent="0.25">
      <c r="B23" s="217" t="s">
        <v>105</v>
      </c>
      <c r="C23" s="249"/>
      <c r="D23" s="231">
        <v>3</v>
      </c>
      <c r="E23" s="247"/>
      <c r="F23" s="218">
        <v>2</v>
      </c>
      <c r="H23" s="231">
        <v>9</v>
      </c>
      <c r="I23" s="247"/>
      <c r="J23" s="218">
        <v>9</v>
      </c>
      <c r="K23" s="196"/>
      <c r="L23" s="196"/>
      <c r="M23" s="196"/>
    </row>
    <row r="24" spans="2:13" x14ac:dyDescent="0.25">
      <c r="B24" s="279"/>
    </row>
  </sheetData>
  <mergeCells count="2">
    <mergeCell ref="D18:F18"/>
    <mergeCell ref="H18:J18"/>
  </mergeCells>
  <pageMargins left="0.75" right="0.2" top="0.25" bottom="0.35" header="0.25" footer="0.17"/>
  <pageSetup scale="85" orientation="landscape" r:id="rId1"/>
  <headerFooter alignWithMargins="0">
    <oddFooter>&amp;CTable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6"/>
  <sheetViews>
    <sheetView topLeftCell="A70" zoomScale="70" zoomScaleNormal="70" workbookViewId="0">
      <selection activeCell="W136" sqref="W136"/>
    </sheetView>
  </sheetViews>
  <sheetFormatPr defaultColWidth="8.88671875" defaultRowHeight="15" x14ac:dyDescent="0.2"/>
  <cols>
    <col min="1" max="1" width="26.5546875" style="312" customWidth="1"/>
    <col min="2" max="2" width="23.44140625" style="312" customWidth="1"/>
    <col min="3" max="3" width="14" style="312" customWidth="1"/>
    <col min="4" max="4" width="2.6640625" style="301" customWidth="1"/>
    <col min="5" max="5" width="17.6640625" style="312" customWidth="1"/>
    <col min="6" max="6" width="2.6640625" style="301" customWidth="1"/>
    <col min="7" max="7" width="14" style="312" customWidth="1"/>
    <col min="8" max="8" width="2.6640625" style="301" customWidth="1"/>
    <col min="9" max="9" width="14" style="312" customWidth="1"/>
    <col min="10" max="10" width="2.6640625" style="301" customWidth="1"/>
    <col min="11" max="11" width="16.44140625" style="312" customWidth="1"/>
    <col min="12" max="12" width="2.6640625" style="301" customWidth="1"/>
    <col min="13" max="13" width="14" style="312" customWidth="1"/>
    <col min="14" max="14" width="2.6640625" style="301" customWidth="1"/>
    <col min="15" max="15" width="14" style="312" customWidth="1"/>
    <col min="16" max="16" width="2.6640625" style="301" customWidth="1"/>
    <col min="17" max="17" width="16.44140625" style="312" customWidth="1"/>
    <col min="18" max="18" width="2.6640625" style="301" customWidth="1"/>
    <col min="19" max="19" width="14" style="312" customWidth="1"/>
    <col min="20" max="20" width="2.6640625" style="301" customWidth="1"/>
    <col min="21" max="21" width="13.88671875" style="312" customWidth="1"/>
    <col min="22" max="22" width="2.5546875" style="312" customWidth="1"/>
    <col min="23" max="23" width="16.44140625" style="312" customWidth="1"/>
    <col min="24" max="24" width="2.5546875" style="312" customWidth="1"/>
    <col min="25" max="25" width="13.88671875" style="312" customWidth="1"/>
    <col min="26" max="26" width="2.6640625" style="312" customWidth="1"/>
    <col min="27" max="226" width="8.88671875" style="312"/>
    <col min="227" max="227" width="17.33203125" style="312" customWidth="1"/>
    <col min="228" max="228" width="20.88671875" style="312" customWidth="1"/>
    <col min="229" max="229" width="10.77734375" style="312" customWidth="1"/>
    <col min="230" max="230" width="19" style="312" customWidth="1"/>
    <col min="231" max="231" width="3.77734375" style="312" customWidth="1"/>
    <col min="232" max="232" width="19" style="312" customWidth="1"/>
    <col min="233" max="233" width="3.77734375" style="312" customWidth="1"/>
    <col min="234" max="234" width="19" style="312" customWidth="1"/>
    <col min="235" max="235" width="3.77734375" style="312" customWidth="1"/>
    <col min="236" max="236" width="19" style="312" customWidth="1"/>
    <col min="237" max="237" width="8.88671875" style="312"/>
    <col min="238" max="238" width="19" style="312" customWidth="1"/>
    <col min="239" max="239" width="3.77734375" style="312" customWidth="1"/>
    <col min="240" max="240" width="19" style="312" customWidth="1"/>
    <col min="241" max="482" width="8.88671875" style="312"/>
    <col min="483" max="483" width="17.33203125" style="312" customWidth="1"/>
    <col min="484" max="484" width="20.88671875" style="312" customWidth="1"/>
    <col min="485" max="485" width="10.77734375" style="312" customWidth="1"/>
    <col min="486" max="486" width="19" style="312" customWidth="1"/>
    <col min="487" max="487" width="3.77734375" style="312" customWidth="1"/>
    <col min="488" max="488" width="19" style="312" customWidth="1"/>
    <col min="489" max="489" width="3.77734375" style="312" customWidth="1"/>
    <col min="490" max="490" width="19" style="312" customWidth="1"/>
    <col min="491" max="491" width="3.77734375" style="312" customWidth="1"/>
    <col min="492" max="492" width="19" style="312" customWidth="1"/>
    <col min="493" max="493" width="8.88671875" style="312"/>
    <col min="494" max="494" width="19" style="312" customWidth="1"/>
    <col min="495" max="495" width="3.77734375" style="312" customWidth="1"/>
    <col min="496" max="496" width="19" style="312" customWidth="1"/>
    <col min="497" max="738" width="8.88671875" style="312"/>
    <col min="739" max="739" width="17.33203125" style="312" customWidth="1"/>
    <col min="740" max="740" width="20.88671875" style="312" customWidth="1"/>
    <col min="741" max="741" width="10.77734375" style="312" customWidth="1"/>
    <col min="742" max="742" width="19" style="312" customWidth="1"/>
    <col min="743" max="743" width="3.77734375" style="312" customWidth="1"/>
    <col min="744" max="744" width="19" style="312" customWidth="1"/>
    <col min="745" max="745" width="3.77734375" style="312" customWidth="1"/>
    <col min="746" max="746" width="19" style="312" customWidth="1"/>
    <col min="747" max="747" width="3.77734375" style="312" customWidth="1"/>
    <col min="748" max="748" width="19" style="312" customWidth="1"/>
    <col min="749" max="749" width="8.88671875" style="312"/>
    <col min="750" max="750" width="19" style="312" customWidth="1"/>
    <col min="751" max="751" width="3.77734375" style="312" customWidth="1"/>
    <col min="752" max="752" width="19" style="312" customWidth="1"/>
    <col min="753" max="994" width="8.88671875" style="312"/>
    <col min="995" max="995" width="17.33203125" style="312" customWidth="1"/>
    <col min="996" max="996" width="20.88671875" style="312" customWidth="1"/>
    <col min="997" max="997" width="10.77734375" style="312" customWidth="1"/>
    <col min="998" max="998" width="19" style="312" customWidth="1"/>
    <col min="999" max="999" width="3.77734375" style="312" customWidth="1"/>
    <col min="1000" max="1000" width="19" style="312" customWidth="1"/>
    <col min="1001" max="1001" width="3.77734375" style="312" customWidth="1"/>
    <col min="1002" max="1002" width="19" style="312" customWidth="1"/>
    <col min="1003" max="1003" width="3.77734375" style="312" customWidth="1"/>
    <col min="1004" max="1004" width="19" style="312" customWidth="1"/>
    <col min="1005" max="1005" width="8.88671875" style="312"/>
    <col min="1006" max="1006" width="19" style="312" customWidth="1"/>
    <col min="1007" max="1007" width="3.77734375" style="312" customWidth="1"/>
    <col min="1008" max="1008" width="19" style="312" customWidth="1"/>
    <col min="1009" max="1250" width="8.88671875" style="312"/>
    <col min="1251" max="1251" width="17.33203125" style="312" customWidth="1"/>
    <col min="1252" max="1252" width="20.88671875" style="312" customWidth="1"/>
    <col min="1253" max="1253" width="10.77734375" style="312" customWidth="1"/>
    <col min="1254" max="1254" width="19" style="312" customWidth="1"/>
    <col min="1255" max="1255" width="3.77734375" style="312" customWidth="1"/>
    <col min="1256" max="1256" width="19" style="312" customWidth="1"/>
    <col min="1257" max="1257" width="3.77734375" style="312" customWidth="1"/>
    <col min="1258" max="1258" width="19" style="312" customWidth="1"/>
    <col min="1259" max="1259" width="3.77734375" style="312" customWidth="1"/>
    <col min="1260" max="1260" width="19" style="312" customWidth="1"/>
    <col min="1261" max="1261" width="8.88671875" style="312"/>
    <col min="1262" max="1262" width="19" style="312" customWidth="1"/>
    <col min="1263" max="1263" width="3.77734375" style="312" customWidth="1"/>
    <col min="1264" max="1264" width="19" style="312" customWidth="1"/>
    <col min="1265" max="1506" width="8.88671875" style="312"/>
    <col min="1507" max="1507" width="17.33203125" style="312" customWidth="1"/>
    <col min="1508" max="1508" width="20.88671875" style="312" customWidth="1"/>
    <col min="1509" max="1509" width="10.77734375" style="312" customWidth="1"/>
    <col min="1510" max="1510" width="19" style="312" customWidth="1"/>
    <col min="1511" max="1511" width="3.77734375" style="312" customWidth="1"/>
    <col min="1512" max="1512" width="19" style="312" customWidth="1"/>
    <col min="1513" max="1513" width="3.77734375" style="312" customWidth="1"/>
    <col min="1514" max="1514" width="19" style="312" customWidth="1"/>
    <col min="1515" max="1515" width="3.77734375" style="312" customWidth="1"/>
    <col min="1516" max="1516" width="19" style="312" customWidth="1"/>
    <col min="1517" max="1517" width="8.88671875" style="312"/>
    <col min="1518" max="1518" width="19" style="312" customWidth="1"/>
    <col min="1519" max="1519" width="3.77734375" style="312" customWidth="1"/>
    <col min="1520" max="1520" width="19" style="312" customWidth="1"/>
    <col min="1521" max="1762" width="8.88671875" style="312"/>
    <col min="1763" max="1763" width="17.33203125" style="312" customWidth="1"/>
    <col min="1764" max="1764" width="20.88671875" style="312" customWidth="1"/>
    <col min="1765" max="1765" width="10.77734375" style="312" customWidth="1"/>
    <col min="1766" max="1766" width="19" style="312" customWidth="1"/>
    <col min="1767" max="1767" width="3.77734375" style="312" customWidth="1"/>
    <col min="1768" max="1768" width="19" style="312" customWidth="1"/>
    <col min="1769" max="1769" width="3.77734375" style="312" customWidth="1"/>
    <col min="1770" max="1770" width="19" style="312" customWidth="1"/>
    <col min="1771" max="1771" width="3.77734375" style="312" customWidth="1"/>
    <col min="1772" max="1772" width="19" style="312" customWidth="1"/>
    <col min="1773" max="1773" width="8.88671875" style="312"/>
    <col min="1774" max="1774" width="19" style="312" customWidth="1"/>
    <col min="1775" max="1775" width="3.77734375" style="312" customWidth="1"/>
    <col min="1776" max="1776" width="19" style="312" customWidth="1"/>
    <col min="1777" max="2018" width="8.88671875" style="312"/>
    <col min="2019" max="2019" width="17.33203125" style="312" customWidth="1"/>
    <col min="2020" max="2020" width="20.88671875" style="312" customWidth="1"/>
    <col min="2021" max="2021" width="10.77734375" style="312" customWidth="1"/>
    <col min="2022" max="2022" width="19" style="312" customWidth="1"/>
    <col min="2023" max="2023" width="3.77734375" style="312" customWidth="1"/>
    <col min="2024" max="2024" width="19" style="312" customWidth="1"/>
    <col min="2025" max="2025" width="3.77734375" style="312" customWidth="1"/>
    <col min="2026" max="2026" width="19" style="312" customWidth="1"/>
    <col min="2027" max="2027" width="3.77734375" style="312" customWidth="1"/>
    <col min="2028" max="2028" width="19" style="312" customWidth="1"/>
    <col min="2029" max="2029" width="8.88671875" style="312"/>
    <col min="2030" max="2030" width="19" style="312" customWidth="1"/>
    <col min="2031" max="2031" width="3.77734375" style="312" customWidth="1"/>
    <col min="2032" max="2032" width="19" style="312" customWidth="1"/>
    <col min="2033" max="2274" width="8.88671875" style="312"/>
    <col min="2275" max="2275" width="17.33203125" style="312" customWidth="1"/>
    <col min="2276" max="2276" width="20.88671875" style="312" customWidth="1"/>
    <col min="2277" max="2277" width="10.77734375" style="312" customWidth="1"/>
    <col min="2278" max="2278" width="19" style="312" customWidth="1"/>
    <col min="2279" max="2279" width="3.77734375" style="312" customWidth="1"/>
    <col min="2280" max="2280" width="19" style="312" customWidth="1"/>
    <col min="2281" max="2281" width="3.77734375" style="312" customWidth="1"/>
    <col min="2282" max="2282" width="19" style="312" customWidth="1"/>
    <col min="2283" max="2283" width="3.77734375" style="312" customWidth="1"/>
    <col min="2284" max="2284" width="19" style="312" customWidth="1"/>
    <col min="2285" max="2285" width="8.88671875" style="312"/>
    <col min="2286" max="2286" width="19" style="312" customWidth="1"/>
    <col min="2287" max="2287" width="3.77734375" style="312" customWidth="1"/>
    <col min="2288" max="2288" width="19" style="312" customWidth="1"/>
    <col min="2289" max="2530" width="8.88671875" style="312"/>
    <col min="2531" max="2531" width="17.33203125" style="312" customWidth="1"/>
    <col min="2532" max="2532" width="20.88671875" style="312" customWidth="1"/>
    <col min="2533" max="2533" width="10.77734375" style="312" customWidth="1"/>
    <col min="2534" max="2534" width="19" style="312" customWidth="1"/>
    <col min="2535" max="2535" width="3.77734375" style="312" customWidth="1"/>
    <col min="2536" max="2536" width="19" style="312" customWidth="1"/>
    <col min="2537" max="2537" width="3.77734375" style="312" customWidth="1"/>
    <col min="2538" max="2538" width="19" style="312" customWidth="1"/>
    <col min="2539" max="2539" width="3.77734375" style="312" customWidth="1"/>
    <col min="2540" max="2540" width="19" style="312" customWidth="1"/>
    <col min="2541" max="2541" width="8.88671875" style="312"/>
    <col min="2542" max="2542" width="19" style="312" customWidth="1"/>
    <col min="2543" max="2543" width="3.77734375" style="312" customWidth="1"/>
    <col min="2544" max="2544" width="19" style="312" customWidth="1"/>
    <col min="2545" max="2786" width="8.88671875" style="312"/>
    <col min="2787" max="2787" width="17.33203125" style="312" customWidth="1"/>
    <col min="2788" max="2788" width="20.88671875" style="312" customWidth="1"/>
    <col min="2789" max="2789" width="10.77734375" style="312" customWidth="1"/>
    <col min="2790" max="2790" width="19" style="312" customWidth="1"/>
    <col min="2791" max="2791" width="3.77734375" style="312" customWidth="1"/>
    <col min="2792" max="2792" width="19" style="312" customWidth="1"/>
    <col min="2793" max="2793" width="3.77734375" style="312" customWidth="1"/>
    <col min="2794" max="2794" width="19" style="312" customWidth="1"/>
    <col min="2795" max="2795" width="3.77734375" style="312" customWidth="1"/>
    <col min="2796" max="2796" width="19" style="312" customWidth="1"/>
    <col min="2797" max="2797" width="8.88671875" style="312"/>
    <col min="2798" max="2798" width="19" style="312" customWidth="1"/>
    <col min="2799" max="2799" width="3.77734375" style="312" customWidth="1"/>
    <col min="2800" max="2800" width="19" style="312" customWidth="1"/>
    <col min="2801" max="3042" width="8.88671875" style="312"/>
    <col min="3043" max="3043" width="17.33203125" style="312" customWidth="1"/>
    <col min="3044" max="3044" width="20.88671875" style="312" customWidth="1"/>
    <col min="3045" max="3045" width="10.77734375" style="312" customWidth="1"/>
    <col min="3046" max="3046" width="19" style="312" customWidth="1"/>
    <col min="3047" max="3047" width="3.77734375" style="312" customWidth="1"/>
    <col min="3048" max="3048" width="19" style="312" customWidth="1"/>
    <col min="3049" max="3049" width="3.77734375" style="312" customWidth="1"/>
    <col min="3050" max="3050" width="19" style="312" customWidth="1"/>
    <col min="3051" max="3051" width="3.77734375" style="312" customWidth="1"/>
    <col min="3052" max="3052" width="19" style="312" customWidth="1"/>
    <col min="3053" max="3053" width="8.88671875" style="312"/>
    <col min="3054" max="3054" width="19" style="312" customWidth="1"/>
    <col min="3055" max="3055" width="3.77734375" style="312" customWidth="1"/>
    <col min="3056" max="3056" width="19" style="312" customWidth="1"/>
    <col min="3057" max="3298" width="8.88671875" style="312"/>
    <col min="3299" max="3299" width="17.33203125" style="312" customWidth="1"/>
    <col min="3300" max="3300" width="20.88671875" style="312" customWidth="1"/>
    <col min="3301" max="3301" width="10.77734375" style="312" customWidth="1"/>
    <col min="3302" max="3302" width="19" style="312" customWidth="1"/>
    <col min="3303" max="3303" width="3.77734375" style="312" customWidth="1"/>
    <col min="3304" max="3304" width="19" style="312" customWidth="1"/>
    <col min="3305" max="3305" width="3.77734375" style="312" customWidth="1"/>
    <col min="3306" max="3306" width="19" style="312" customWidth="1"/>
    <col min="3307" max="3307" width="3.77734375" style="312" customWidth="1"/>
    <col min="3308" max="3308" width="19" style="312" customWidth="1"/>
    <col min="3309" max="3309" width="8.88671875" style="312"/>
    <col min="3310" max="3310" width="19" style="312" customWidth="1"/>
    <col min="3311" max="3311" width="3.77734375" style="312" customWidth="1"/>
    <col min="3312" max="3312" width="19" style="312" customWidth="1"/>
    <col min="3313" max="3554" width="8.88671875" style="312"/>
    <col min="3555" max="3555" width="17.33203125" style="312" customWidth="1"/>
    <col min="3556" max="3556" width="20.88671875" style="312" customWidth="1"/>
    <col min="3557" max="3557" width="10.77734375" style="312" customWidth="1"/>
    <col min="3558" max="3558" width="19" style="312" customWidth="1"/>
    <col min="3559" max="3559" width="3.77734375" style="312" customWidth="1"/>
    <col min="3560" max="3560" width="19" style="312" customWidth="1"/>
    <col min="3561" max="3561" width="3.77734375" style="312" customWidth="1"/>
    <col min="3562" max="3562" width="19" style="312" customWidth="1"/>
    <col min="3563" max="3563" width="3.77734375" style="312" customWidth="1"/>
    <col min="3564" max="3564" width="19" style="312" customWidth="1"/>
    <col min="3565" max="3565" width="8.88671875" style="312"/>
    <col min="3566" max="3566" width="19" style="312" customWidth="1"/>
    <col min="3567" max="3567" width="3.77734375" style="312" customWidth="1"/>
    <col min="3568" max="3568" width="19" style="312" customWidth="1"/>
    <col min="3569" max="3810" width="8.88671875" style="312"/>
    <col min="3811" max="3811" width="17.33203125" style="312" customWidth="1"/>
    <col min="3812" max="3812" width="20.88671875" style="312" customWidth="1"/>
    <col min="3813" max="3813" width="10.77734375" style="312" customWidth="1"/>
    <col min="3814" max="3814" width="19" style="312" customWidth="1"/>
    <col min="3815" max="3815" width="3.77734375" style="312" customWidth="1"/>
    <col min="3816" max="3816" width="19" style="312" customWidth="1"/>
    <col min="3817" max="3817" width="3.77734375" style="312" customWidth="1"/>
    <col min="3818" max="3818" width="19" style="312" customWidth="1"/>
    <col min="3819" max="3819" width="3.77734375" style="312" customWidth="1"/>
    <col min="3820" max="3820" width="19" style="312" customWidth="1"/>
    <col min="3821" max="3821" width="8.88671875" style="312"/>
    <col min="3822" max="3822" width="19" style="312" customWidth="1"/>
    <col min="3823" max="3823" width="3.77734375" style="312" customWidth="1"/>
    <col min="3824" max="3824" width="19" style="312" customWidth="1"/>
    <col min="3825" max="4066" width="8.88671875" style="312"/>
    <col min="4067" max="4067" width="17.33203125" style="312" customWidth="1"/>
    <col min="4068" max="4068" width="20.88671875" style="312" customWidth="1"/>
    <col min="4069" max="4069" width="10.77734375" style="312" customWidth="1"/>
    <col min="4070" max="4070" width="19" style="312" customWidth="1"/>
    <col min="4071" max="4071" width="3.77734375" style="312" customWidth="1"/>
    <col min="4072" max="4072" width="19" style="312" customWidth="1"/>
    <col min="4073" max="4073" width="3.77734375" style="312" customWidth="1"/>
    <col min="4074" max="4074" width="19" style="312" customWidth="1"/>
    <col min="4075" max="4075" width="3.77734375" style="312" customWidth="1"/>
    <col min="4076" max="4076" width="19" style="312" customWidth="1"/>
    <col min="4077" max="4077" width="8.88671875" style="312"/>
    <col min="4078" max="4078" width="19" style="312" customWidth="1"/>
    <col min="4079" max="4079" width="3.77734375" style="312" customWidth="1"/>
    <col min="4080" max="4080" width="19" style="312" customWidth="1"/>
    <col min="4081" max="4322" width="8.88671875" style="312"/>
    <col min="4323" max="4323" width="17.33203125" style="312" customWidth="1"/>
    <col min="4324" max="4324" width="20.88671875" style="312" customWidth="1"/>
    <col min="4325" max="4325" width="10.77734375" style="312" customWidth="1"/>
    <col min="4326" max="4326" width="19" style="312" customWidth="1"/>
    <col min="4327" max="4327" width="3.77734375" style="312" customWidth="1"/>
    <col min="4328" max="4328" width="19" style="312" customWidth="1"/>
    <col min="4329" max="4329" width="3.77734375" style="312" customWidth="1"/>
    <col min="4330" max="4330" width="19" style="312" customWidth="1"/>
    <col min="4331" max="4331" width="3.77734375" style="312" customWidth="1"/>
    <col min="4332" max="4332" width="19" style="312" customWidth="1"/>
    <col min="4333" max="4333" width="8.88671875" style="312"/>
    <col min="4334" max="4334" width="19" style="312" customWidth="1"/>
    <col min="4335" max="4335" width="3.77734375" style="312" customWidth="1"/>
    <col min="4336" max="4336" width="19" style="312" customWidth="1"/>
    <col min="4337" max="4578" width="8.88671875" style="312"/>
    <col min="4579" max="4579" width="17.33203125" style="312" customWidth="1"/>
    <col min="4580" max="4580" width="20.88671875" style="312" customWidth="1"/>
    <col min="4581" max="4581" width="10.77734375" style="312" customWidth="1"/>
    <col min="4582" max="4582" width="19" style="312" customWidth="1"/>
    <col min="4583" max="4583" width="3.77734375" style="312" customWidth="1"/>
    <col min="4584" max="4584" width="19" style="312" customWidth="1"/>
    <col min="4585" max="4585" width="3.77734375" style="312" customWidth="1"/>
    <col min="4586" max="4586" width="19" style="312" customWidth="1"/>
    <col min="4587" max="4587" width="3.77734375" style="312" customWidth="1"/>
    <col min="4588" max="4588" width="19" style="312" customWidth="1"/>
    <col min="4589" max="4589" width="8.88671875" style="312"/>
    <col min="4590" max="4590" width="19" style="312" customWidth="1"/>
    <col min="4591" max="4591" width="3.77734375" style="312" customWidth="1"/>
    <col min="4592" max="4592" width="19" style="312" customWidth="1"/>
    <col min="4593" max="4834" width="8.88671875" style="312"/>
    <col min="4835" max="4835" width="17.33203125" style="312" customWidth="1"/>
    <col min="4836" max="4836" width="20.88671875" style="312" customWidth="1"/>
    <col min="4837" max="4837" width="10.77734375" style="312" customWidth="1"/>
    <col min="4838" max="4838" width="19" style="312" customWidth="1"/>
    <col min="4839" max="4839" width="3.77734375" style="312" customWidth="1"/>
    <col min="4840" max="4840" width="19" style="312" customWidth="1"/>
    <col min="4841" max="4841" width="3.77734375" style="312" customWidth="1"/>
    <col min="4842" max="4842" width="19" style="312" customWidth="1"/>
    <col min="4843" max="4843" width="3.77734375" style="312" customWidth="1"/>
    <col min="4844" max="4844" width="19" style="312" customWidth="1"/>
    <col min="4845" max="4845" width="8.88671875" style="312"/>
    <col min="4846" max="4846" width="19" style="312" customWidth="1"/>
    <col min="4847" max="4847" width="3.77734375" style="312" customWidth="1"/>
    <col min="4848" max="4848" width="19" style="312" customWidth="1"/>
    <col min="4849" max="5090" width="8.88671875" style="312"/>
    <col min="5091" max="5091" width="17.33203125" style="312" customWidth="1"/>
    <col min="5092" max="5092" width="20.88671875" style="312" customWidth="1"/>
    <col min="5093" max="5093" width="10.77734375" style="312" customWidth="1"/>
    <col min="5094" max="5094" width="19" style="312" customWidth="1"/>
    <col min="5095" max="5095" width="3.77734375" style="312" customWidth="1"/>
    <col min="5096" max="5096" width="19" style="312" customWidth="1"/>
    <col min="5097" max="5097" width="3.77734375" style="312" customWidth="1"/>
    <col min="5098" max="5098" width="19" style="312" customWidth="1"/>
    <col min="5099" max="5099" width="3.77734375" style="312" customWidth="1"/>
    <col min="5100" max="5100" width="19" style="312" customWidth="1"/>
    <col min="5101" max="5101" width="8.88671875" style="312"/>
    <col min="5102" max="5102" width="19" style="312" customWidth="1"/>
    <col min="5103" max="5103" width="3.77734375" style="312" customWidth="1"/>
    <col min="5104" max="5104" width="19" style="312" customWidth="1"/>
    <col min="5105" max="5346" width="8.88671875" style="312"/>
    <col min="5347" max="5347" width="17.33203125" style="312" customWidth="1"/>
    <col min="5348" max="5348" width="20.88671875" style="312" customWidth="1"/>
    <col min="5349" max="5349" width="10.77734375" style="312" customWidth="1"/>
    <col min="5350" max="5350" width="19" style="312" customWidth="1"/>
    <col min="5351" max="5351" width="3.77734375" style="312" customWidth="1"/>
    <col min="5352" max="5352" width="19" style="312" customWidth="1"/>
    <col min="5353" max="5353" width="3.77734375" style="312" customWidth="1"/>
    <col min="5354" max="5354" width="19" style="312" customWidth="1"/>
    <col min="5355" max="5355" width="3.77734375" style="312" customWidth="1"/>
    <col min="5356" max="5356" width="19" style="312" customWidth="1"/>
    <col min="5357" max="5357" width="8.88671875" style="312"/>
    <col min="5358" max="5358" width="19" style="312" customWidth="1"/>
    <col min="5359" max="5359" width="3.77734375" style="312" customWidth="1"/>
    <col min="5360" max="5360" width="19" style="312" customWidth="1"/>
    <col min="5361" max="5602" width="8.88671875" style="312"/>
    <col min="5603" max="5603" width="17.33203125" style="312" customWidth="1"/>
    <col min="5604" max="5604" width="20.88671875" style="312" customWidth="1"/>
    <col min="5605" max="5605" width="10.77734375" style="312" customWidth="1"/>
    <col min="5606" max="5606" width="19" style="312" customWidth="1"/>
    <col min="5607" max="5607" width="3.77734375" style="312" customWidth="1"/>
    <col min="5608" max="5608" width="19" style="312" customWidth="1"/>
    <col min="5609" max="5609" width="3.77734375" style="312" customWidth="1"/>
    <col min="5610" max="5610" width="19" style="312" customWidth="1"/>
    <col min="5611" max="5611" width="3.77734375" style="312" customWidth="1"/>
    <col min="5612" max="5612" width="19" style="312" customWidth="1"/>
    <col min="5613" max="5613" width="8.88671875" style="312"/>
    <col min="5614" max="5614" width="19" style="312" customWidth="1"/>
    <col min="5615" max="5615" width="3.77734375" style="312" customWidth="1"/>
    <col min="5616" max="5616" width="19" style="312" customWidth="1"/>
    <col min="5617" max="5858" width="8.88671875" style="312"/>
    <col min="5859" max="5859" width="17.33203125" style="312" customWidth="1"/>
    <col min="5860" max="5860" width="20.88671875" style="312" customWidth="1"/>
    <col min="5861" max="5861" width="10.77734375" style="312" customWidth="1"/>
    <col min="5862" max="5862" width="19" style="312" customWidth="1"/>
    <col min="5863" max="5863" width="3.77734375" style="312" customWidth="1"/>
    <col min="5864" max="5864" width="19" style="312" customWidth="1"/>
    <col min="5865" max="5865" width="3.77734375" style="312" customWidth="1"/>
    <col min="5866" max="5866" width="19" style="312" customWidth="1"/>
    <col min="5867" max="5867" width="3.77734375" style="312" customWidth="1"/>
    <col min="5868" max="5868" width="19" style="312" customWidth="1"/>
    <col min="5869" max="5869" width="8.88671875" style="312"/>
    <col min="5870" max="5870" width="19" style="312" customWidth="1"/>
    <col min="5871" max="5871" width="3.77734375" style="312" customWidth="1"/>
    <col min="5872" max="5872" width="19" style="312" customWidth="1"/>
    <col min="5873" max="6114" width="8.88671875" style="312"/>
    <col min="6115" max="6115" width="17.33203125" style="312" customWidth="1"/>
    <col min="6116" max="6116" width="20.88671875" style="312" customWidth="1"/>
    <col min="6117" max="6117" width="10.77734375" style="312" customWidth="1"/>
    <col min="6118" max="6118" width="19" style="312" customWidth="1"/>
    <col min="6119" max="6119" width="3.77734375" style="312" customWidth="1"/>
    <col min="6120" max="6120" width="19" style="312" customWidth="1"/>
    <col min="6121" max="6121" width="3.77734375" style="312" customWidth="1"/>
    <col min="6122" max="6122" width="19" style="312" customWidth="1"/>
    <col min="6123" max="6123" width="3.77734375" style="312" customWidth="1"/>
    <col min="6124" max="6124" width="19" style="312" customWidth="1"/>
    <col min="6125" max="6125" width="8.88671875" style="312"/>
    <col min="6126" max="6126" width="19" style="312" customWidth="1"/>
    <col min="6127" max="6127" width="3.77734375" style="312" customWidth="1"/>
    <col min="6128" max="6128" width="19" style="312" customWidth="1"/>
    <col min="6129" max="6370" width="8.88671875" style="312"/>
    <col min="6371" max="6371" width="17.33203125" style="312" customWidth="1"/>
    <col min="6372" max="6372" width="20.88671875" style="312" customWidth="1"/>
    <col min="6373" max="6373" width="10.77734375" style="312" customWidth="1"/>
    <col min="6374" max="6374" width="19" style="312" customWidth="1"/>
    <col min="6375" max="6375" width="3.77734375" style="312" customWidth="1"/>
    <col min="6376" max="6376" width="19" style="312" customWidth="1"/>
    <col min="6377" max="6377" width="3.77734375" style="312" customWidth="1"/>
    <col min="6378" max="6378" width="19" style="312" customWidth="1"/>
    <col min="6379" max="6379" width="3.77734375" style="312" customWidth="1"/>
    <col min="6380" max="6380" width="19" style="312" customWidth="1"/>
    <col min="6381" max="6381" width="8.88671875" style="312"/>
    <col min="6382" max="6382" width="19" style="312" customWidth="1"/>
    <col min="6383" max="6383" width="3.77734375" style="312" customWidth="1"/>
    <col min="6384" max="6384" width="19" style="312" customWidth="1"/>
    <col min="6385" max="6626" width="8.88671875" style="312"/>
    <col min="6627" max="6627" width="17.33203125" style="312" customWidth="1"/>
    <col min="6628" max="6628" width="20.88671875" style="312" customWidth="1"/>
    <col min="6629" max="6629" width="10.77734375" style="312" customWidth="1"/>
    <col min="6630" max="6630" width="19" style="312" customWidth="1"/>
    <col min="6631" max="6631" width="3.77734375" style="312" customWidth="1"/>
    <col min="6632" max="6632" width="19" style="312" customWidth="1"/>
    <col min="6633" max="6633" width="3.77734375" style="312" customWidth="1"/>
    <col min="6634" max="6634" width="19" style="312" customWidth="1"/>
    <col min="6635" max="6635" width="3.77734375" style="312" customWidth="1"/>
    <col min="6636" max="6636" width="19" style="312" customWidth="1"/>
    <col min="6637" max="6637" width="8.88671875" style="312"/>
    <col min="6638" max="6638" width="19" style="312" customWidth="1"/>
    <col min="6639" max="6639" width="3.77734375" style="312" customWidth="1"/>
    <col min="6640" max="6640" width="19" style="312" customWidth="1"/>
    <col min="6641" max="6882" width="8.88671875" style="312"/>
    <col min="6883" max="6883" width="17.33203125" style="312" customWidth="1"/>
    <col min="6884" max="6884" width="20.88671875" style="312" customWidth="1"/>
    <col min="6885" max="6885" width="10.77734375" style="312" customWidth="1"/>
    <col min="6886" max="6886" width="19" style="312" customWidth="1"/>
    <col min="6887" max="6887" width="3.77734375" style="312" customWidth="1"/>
    <col min="6888" max="6888" width="19" style="312" customWidth="1"/>
    <col min="6889" max="6889" width="3.77734375" style="312" customWidth="1"/>
    <col min="6890" max="6890" width="19" style="312" customWidth="1"/>
    <col min="6891" max="6891" width="3.77734375" style="312" customWidth="1"/>
    <col min="6892" max="6892" width="19" style="312" customWidth="1"/>
    <col min="6893" max="6893" width="8.88671875" style="312"/>
    <col min="6894" max="6894" width="19" style="312" customWidth="1"/>
    <col min="6895" max="6895" width="3.77734375" style="312" customWidth="1"/>
    <col min="6896" max="6896" width="19" style="312" customWidth="1"/>
    <col min="6897" max="7138" width="8.88671875" style="312"/>
    <col min="7139" max="7139" width="17.33203125" style="312" customWidth="1"/>
    <col min="7140" max="7140" width="20.88671875" style="312" customWidth="1"/>
    <col min="7141" max="7141" width="10.77734375" style="312" customWidth="1"/>
    <col min="7142" max="7142" width="19" style="312" customWidth="1"/>
    <col min="7143" max="7143" width="3.77734375" style="312" customWidth="1"/>
    <col min="7144" max="7144" width="19" style="312" customWidth="1"/>
    <col min="7145" max="7145" width="3.77734375" style="312" customWidth="1"/>
    <col min="7146" max="7146" width="19" style="312" customWidth="1"/>
    <col min="7147" max="7147" width="3.77734375" style="312" customWidth="1"/>
    <col min="7148" max="7148" width="19" style="312" customWidth="1"/>
    <col min="7149" max="7149" width="8.88671875" style="312"/>
    <col min="7150" max="7150" width="19" style="312" customWidth="1"/>
    <col min="7151" max="7151" width="3.77734375" style="312" customWidth="1"/>
    <col min="7152" max="7152" width="19" style="312" customWidth="1"/>
    <col min="7153" max="7394" width="8.88671875" style="312"/>
    <col min="7395" max="7395" width="17.33203125" style="312" customWidth="1"/>
    <col min="7396" max="7396" width="20.88671875" style="312" customWidth="1"/>
    <col min="7397" max="7397" width="10.77734375" style="312" customWidth="1"/>
    <col min="7398" max="7398" width="19" style="312" customWidth="1"/>
    <col min="7399" max="7399" width="3.77734375" style="312" customWidth="1"/>
    <col min="7400" max="7400" width="19" style="312" customWidth="1"/>
    <col min="7401" max="7401" width="3.77734375" style="312" customWidth="1"/>
    <col min="7402" max="7402" width="19" style="312" customWidth="1"/>
    <col min="7403" max="7403" width="3.77734375" style="312" customWidth="1"/>
    <col min="7404" max="7404" width="19" style="312" customWidth="1"/>
    <col min="7405" max="7405" width="8.88671875" style="312"/>
    <col min="7406" max="7406" width="19" style="312" customWidth="1"/>
    <col min="7407" max="7407" width="3.77734375" style="312" customWidth="1"/>
    <col min="7408" max="7408" width="19" style="312" customWidth="1"/>
    <col min="7409" max="7650" width="8.88671875" style="312"/>
    <col min="7651" max="7651" width="17.33203125" style="312" customWidth="1"/>
    <col min="7652" max="7652" width="20.88671875" style="312" customWidth="1"/>
    <col min="7653" max="7653" width="10.77734375" style="312" customWidth="1"/>
    <col min="7654" max="7654" width="19" style="312" customWidth="1"/>
    <col min="7655" max="7655" width="3.77734375" style="312" customWidth="1"/>
    <col min="7656" max="7656" width="19" style="312" customWidth="1"/>
    <col min="7657" max="7657" width="3.77734375" style="312" customWidth="1"/>
    <col min="7658" max="7658" width="19" style="312" customWidth="1"/>
    <col min="7659" max="7659" width="3.77734375" style="312" customWidth="1"/>
    <col min="7660" max="7660" width="19" style="312" customWidth="1"/>
    <col min="7661" max="7661" width="8.88671875" style="312"/>
    <col min="7662" max="7662" width="19" style="312" customWidth="1"/>
    <col min="7663" max="7663" width="3.77734375" style="312" customWidth="1"/>
    <col min="7664" max="7664" width="19" style="312" customWidth="1"/>
    <col min="7665" max="7906" width="8.88671875" style="312"/>
    <col min="7907" max="7907" width="17.33203125" style="312" customWidth="1"/>
    <col min="7908" max="7908" width="20.88671875" style="312" customWidth="1"/>
    <col min="7909" max="7909" width="10.77734375" style="312" customWidth="1"/>
    <col min="7910" max="7910" width="19" style="312" customWidth="1"/>
    <col min="7911" max="7911" width="3.77734375" style="312" customWidth="1"/>
    <col min="7912" max="7912" width="19" style="312" customWidth="1"/>
    <col min="7913" max="7913" width="3.77734375" style="312" customWidth="1"/>
    <col min="7914" max="7914" width="19" style="312" customWidth="1"/>
    <col min="7915" max="7915" width="3.77734375" style="312" customWidth="1"/>
    <col min="7916" max="7916" width="19" style="312" customWidth="1"/>
    <col min="7917" max="7917" width="8.88671875" style="312"/>
    <col min="7918" max="7918" width="19" style="312" customWidth="1"/>
    <col min="7919" max="7919" width="3.77734375" style="312" customWidth="1"/>
    <col min="7920" max="7920" width="19" style="312" customWidth="1"/>
    <col min="7921" max="8162" width="8.88671875" style="312"/>
    <col min="8163" max="8163" width="17.33203125" style="312" customWidth="1"/>
    <col min="8164" max="8164" width="20.88671875" style="312" customWidth="1"/>
    <col min="8165" max="8165" width="10.77734375" style="312" customWidth="1"/>
    <col min="8166" max="8166" width="19" style="312" customWidth="1"/>
    <col min="8167" max="8167" width="3.77734375" style="312" customWidth="1"/>
    <col min="8168" max="8168" width="19" style="312" customWidth="1"/>
    <col min="8169" max="8169" width="3.77734375" style="312" customWidth="1"/>
    <col min="8170" max="8170" width="19" style="312" customWidth="1"/>
    <col min="8171" max="8171" width="3.77734375" style="312" customWidth="1"/>
    <col min="8172" max="8172" width="19" style="312" customWidth="1"/>
    <col min="8173" max="8173" width="8.88671875" style="312"/>
    <col min="8174" max="8174" width="19" style="312" customWidth="1"/>
    <col min="8175" max="8175" width="3.77734375" style="312" customWidth="1"/>
    <col min="8176" max="8176" width="19" style="312" customWidth="1"/>
    <col min="8177" max="8418" width="8.88671875" style="312"/>
    <col min="8419" max="8419" width="17.33203125" style="312" customWidth="1"/>
    <col min="8420" max="8420" width="20.88671875" style="312" customWidth="1"/>
    <col min="8421" max="8421" width="10.77734375" style="312" customWidth="1"/>
    <col min="8422" max="8422" width="19" style="312" customWidth="1"/>
    <col min="8423" max="8423" width="3.77734375" style="312" customWidth="1"/>
    <col min="8424" max="8424" width="19" style="312" customWidth="1"/>
    <col min="8425" max="8425" width="3.77734375" style="312" customWidth="1"/>
    <col min="8426" max="8426" width="19" style="312" customWidth="1"/>
    <col min="8427" max="8427" width="3.77734375" style="312" customWidth="1"/>
    <col min="8428" max="8428" width="19" style="312" customWidth="1"/>
    <col min="8429" max="8429" width="8.88671875" style="312"/>
    <col min="8430" max="8430" width="19" style="312" customWidth="1"/>
    <col min="8431" max="8431" width="3.77734375" style="312" customWidth="1"/>
    <col min="8432" max="8432" width="19" style="312" customWidth="1"/>
    <col min="8433" max="8674" width="8.88671875" style="312"/>
    <col min="8675" max="8675" width="17.33203125" style="312" customWidth="1"/>
    <col min="8676" max="8676" width="20.88671875" style="312" customWidth="1"/>
    <col min="8677" max="8677" width="10.77734375" style="312" customWidth="1"/>
    <col min="8678" max="8678" width="19" style="312" customWidth="1"/>
    <col min="8679" max="8679" width="3.77734375" style="312" customWidth="1"/>
    <col min="8680" max="8680" width="19" style="312" customWidth="1"/>
    <col min="8681" max="8681" width="3.77734375" style="312" customWidth="1"/>
    <col min="8682" max="8682" width="19" style="312" customWidth="1"/>
    <col min="8683" max="8683" width="3.77734375" style="312" customWidth="1"/>
    <col min="8684" max="8684" width="19" style="312" customWidth="1"/>
    <col min="8685" max="8685" width="8.88671875" style="312"/>
    <col min="8686" max="8686" width="19" style="312" customWidth="1"/>
    <col min="8687" max="8687" width="3.77734375" style="312" customWidth="1"/>
    <col min="8688" max="8688" width="19" style="312" customWidth="1"/>
    <col min="8689" max="8930" width="8.88671875" style="312"/>
    <col min="8931" max="8931" width="17.33203125" style="312" customWidth="1"/>
    <col min="8932" max="8932" width="20.88671875" style="312" customWidth="1"/>
    <col min="8933" max="8933" width="10.77734375" style="312" customWidth="1"/>
    <col min="8934" max="8934" width="19" style="312" customWidth="1"/>
    <col min="8935" max="8935" width="3.77734375" style="312" customWidth="1"/>
    <col min="8936" max="8936" width="19" style="312" customWidth="1"/>
    <col min="8937" max="8937" width="3.77734375" style="312" customWidth="1"/>
    <col min="8938" max="8938" width="19" style="312" customWidth="1"/>
    <col min="8939" max="8939" width="3.77734375" style="312" customWidth="1"/>
    <col min="8940" max="8940" width="19" style="312" customWidth="1"/>
    <col min="8941" max="8941" width="8.88671875" style="312"/>
    <col min="8942" max="8942" width="19" style="312" customWidth="1"/>
    <col min="8943" max="8943" width="3.77734375" style="312" customWidth="1"/>
    <col min="8944" max="8944" width="19" style="312" customWidth="1"/>
    <col min="8945" max="9186" width="8.88671875" style="312"/>
    <col min="9187" max="9187" width="17.33203125" style="312" customWidth="1"/>
    <col min="9188" max="9188" width="20.88671875" style="312" customWidth="1"/>
    <col min="9189" max="9189" width="10.77734375" style="312" customWidth="1"/>
    <col min="9190" max="9190" width="19" style="312" customWidth="1"/>
    <col min="9191" max="9191" width="3.77734375" style="312" customWidth="1"/>
    <col min="9192" max="9192" width="19" style="312" customWidth="1"/>
    <col min="9193" max="9193" width="3.77734375" style="312" customWidth="1"/>
    <col min="9194" max="9194" width="19" style="312" customWidth="1"/>
    <col min="9195" max="9195" width="3.77734375" style="312" customWidth="1"/>
    <col min="9196" max="9196" width="19" style="312" customWidth="1"/>
    <col min="9197" max="9197" width="8.88671875" style="312"/>
    <col min="9198" max="9198" width="19" style="312" customWidth="1"/>
    <col min="9199" max="9199" width="3.77734375" style="312" customWidth="1"/>
    <col min="9200" max="9200" width="19" style="312" customWidth="1"/>
    <col min="9201" max="9442" width="8.88671875" style="312"/>
    <col min="9443" max="9443" width="17.33203125" style="312" customWidth="1"/>
    <col min="9444" max="9444" width="20.88671875" style="312" customWidth="1"/>
    <col min="9445" max="9445" width="10.77734375" style="312" customWidth="1"/>
    <col min="9446" max="9446" width="19" style="312" customWidth="1"/>
    <col min="9447" max="9447" width="3.77734375" style="312" customWidth="1"/>
    <col min="9448" max="9448" width="19" style="312" customWidth="1"/>
    <col min="9449" max="9449" width="3.77734375" style="312" customWidth="1"/>
    <col min="9450" max="9450" width="19" style="312" customWidth="1"/>
    <col min="9451" max="9451" width="3.77734375" style="312" customWidth="1"/>
    <col min="9452" max="9452" width="19" style="312" customWidth="1"/>
    <col min="9453" max="9453" width="8.88671875" style="312"/>
    <col min="9454" max="9454" width="19" style="312" customWidth="1"/>
    <col min="9455" max="9455" width="3.77734375" style="312" customWidth="1"/>
    <col min="9456" max="9456" width="19" style="312" customWidth="1"/>
    <col min="9457" max="9698" width="8.88671875" style="312"/>
    <col min="9699" max="9699" width="17.33203125" style="312" customWidth="1"/>
    <col min="9700" max="9700" width="20.88671875" style="312" customWidth="1"/>
    <col min="9701" max="9701" width="10.77734375" style="312" customWidth="1"/>
    <col min="9702" max="9702" width="19" style="312" customWidth="1"/>
    <col min="9703" max="9703" width="3.77734375" style="312" customWidth="1"/>
    <col min="9704" max="9704" width="19" style="312" customWidth="1"/>
    <col min="9705" max="9705" width="3.77734375" style="312" customWidth="1"/>
    <col min="9706" max="9706" width="19" style="312" customWidth="1"/>
    <col min="9707" max="9707" width="3.77734375" style="312" customWidth="1"/>
    <col min="9708" max="9708" width="19" style="312" customWidth="1"/>
    <col min="9709" max="9709" width="8.88671875" style="312"/>
    <col min="9710" max="9710" width="19" style="312" customWidth="1"/>
    <col min="9711" max="9711" width="3.77734375" style="312" customWidth="1"/>
    <col min="9712" max="9712" width="19" style="312" customWidth="1"/>
    <col min="9713" max="9954" width="8.88671875" style="312"/>
    <col min="9955" max="9955" width="17.33203125" style="312" customWidth="1"/>
    <col min="9956" max="9956" width="20.88671875" style="312" customWidth="1"/>
    <col min="9957" max="9957" width="10.77734375" style="312" customWidth="1"/>
    <col min="9958" max="9958" width="19" style="312" customWidth="1"/>
    <col min="9959" max="9959" width="3.77734375" style="312" customWidth="1"/>
    <col min="9960" max="9960" width="19" style="312" customWidth="1"/>
    <col min="9961" max="9961" width="3.77734375" style="312" customWidth="1"/>
    <col min="9962" max="9962" width="19" style="312" customWidth="1"/>
    <col min="9963" max="9963" width="3.77734375" style="312" customWidth="1"/>
    <col min="9964" max="9964" width="19" style="312" customWidth="1"/>
    <col min="9965" max="9965" width="8.88671875" style="312"/>
    <col min="9966" max="9966" width="19" style="312" customWidth="1"/>
    <col min="9967" max="9967" width="3.77734375" style="312" customWidth="1"/>
    <col min="9968" max="9968" width="19" style="312" customWidth="1"/>
    <col min="9969" max="10210" width="8.88671875" style="312"/>
    <col min="10211" max="10211" width="17.33203125" style="312" customWidth="1"/>
    <col min="10212" max="10212" width="20.88671875" style="312" customWidth="1"/>
    <col min="10213" max="10213" width="10.77734375" style="312" customWidth="1"/>
    <col min="10214" max="10214" width="19" style="312" customWidth="1"/>
    <col min="10215" max="10215" width="3.77734375" style="312" customWidth="1"/>
    <col min="10216" max="10216" width="19" style="312" customWidth="1"/>
    <col min="10217" max="10217" width="3.77734375" style="312" customWidth="1"/>
    <col min="10218" max="10218" width="19" style="312" customWidth="1"/>
    <col min="10219" max="10219" width="3.77734375" style="312" customWidth="1"/>
    <col min="10220" max="10220" width="19" style="312" customWidth="1"/>
    <col min="10221" max="10221" width="8.88671875" style="312"/>
    <col min="10222" max="10222" width="19" style="312" customWidth="1"/>
    <col min="10223" max="10223" width="3.77734375" style="312" customWidth="1"/>
    <col min="10224" max="10224" width="19" style="312" customWidth="1"/>
    <col min="10225" max="10466" width="8.88671875" style="312"/>
    <col min="10467" max="10467" width="17.33203125" style="312" customWidth="1"/>
    <col min="10468" max="10468" width="20.88671875" style="312" customWidth="1"/>
    <col min="10469" max="10469" width="10.77734375" style="312" customWidth="1"/>
    <col min="10470" max="10470" width="19" style="312" customWidth="1"/>
    <col min="10471" max="10471" width="3.77734375" style="312" customWidth="1"/>
    <col min="10472" max="10472" width="19" style="312" customWidth="1"/>
    <col min="10473" max="10473" width="3.77734375" style="312" customWidth="1"/>
    <col min="10474" max="10474" width="19" style="312" customWidth="1"/>
    <col min="10475" max="10475" width="3.77734375" style="312" customWidth="1"/>
    <col min="10476" max="10476" width="19" style="312" customWidth="1"/>
    <col min="10477" max="10477" width="8.88671875" style="312"/>
    <col min="10478" max="10478" width="19" style="312" customWidth="1"/>
    <col min="10479" max="10479" width="3.77734375" style="312" customWidth="1"/>
    <col min="10480" max="10480" width="19" style="312" customWidth="1"/>
    <col min="10481" max="10722" width="8.88671875" style="312"/>
    <col min="10723" max="10723" width="17.33203125" style="312" customWidth="1"/>
    <col min="10724" max="10724" width="20.88671875" style="312" customWidth="1"/>
    <col min="10725" max="10725" width="10.77734375" style="312" customWidth="1"/>
    <col min="10726" max="10726" width="19" style="312" customWidth="1"/>
    <col min="10727" max="10727" width="3.77734375" style="312" customWidth="1"/>
    <col min="10728" max="10728" width="19" style="312" customWidth="1"/>
    <col min="10729" max="10729" width="3.77734375" style="312" customWidth="1"/>
    <col min="10730" max="10730" width="19" style="312" customWidth="1"/>
    <col min="10731" max="10731" width="3.77734375" style="312" customWidth="1"/>
    <col min="10732" max="10732" width="19" style="312" customWidth="1"/>
    <col min="10733" max="10733" width="8.88671875" style="312"/>
    <col min="10734" max="10734" width="19" style="312" customWidth="1"/>
    <col min="10735" max="10735" width="3.77734375" style="312" customWidth="1"/>
    <col min="10736" max="10736" width="19" style="312" customWidth="1"/>
    <col min="10737" max="10978" width="8.88671875" style="312"/>
    <col min="10979" max="10979" width="17.33203125" style="312" customWidth="1"/>
    <col min="10980" max="10980" width="20.88671875" style="312" customWidth="1"/>
    <col min="10981" max="10981" width="10.77734375" style="312" customWidth="1"/>
    <col min="10982" max="10982" width="19" style="312" customWidth="1"/>
    <col min="10983" max="10983" width="3.77734375" style="312" customWidth="1"/>
    <col min="10984" max="10984" width="19" style="312" customWidth="1"/>
    <col min="10985" max="10985" width="3.77734375" style="312" customWidth="1"/>
    <col min="10986" max="10986" width="19" style="312" customWidth="1"/>
    <col min="10987" max="10987" width="3.77734375" style="312" customWidth="1"/>
    <col min="10988" max="10988" width="19" style="312" customWidth="1"/>
    <col min="10989" max="10989" width="8.88671875" style="312"/>
    <col min="10990" max="10990" width="19" style="312" customWidth="1"/>
    <col min="10991" max="10991" width="3.77734375" style="312" customWidth="1"/>
    <col min="10992" max="10992" width="19" style="312" customWidth="1"/>
    <col min="10993" max="11234" width="8.88671875" style="312"/>
    <col min="11235" max="11235" width="17.33203125" style="312" customWidth="1"/>
    <col min="11236" max="11236" width="20.88671875" style="312" customWidth="1"/>
    <col min="11237" max="11237" width="10.77734375" style="312" customWidth="1"/>
    <col min="11238" max="11238" width="19" style="312" customWidth="1"/>
    <col min="11239" max="11239" width="3.77734375" style="312" customWidth="1"/>
    <col min="11240" max="11240" width="19" style="312" customWidth="1"/>
    <col min="11241" max="11241" width="3.77734375" style="312" customWidth="1"/>
    <col min="11242" max="11242" width="19" style="312" customWidth="1"/>
    <col min="11243" max="11243" width="3.77734375" style="312" customWidth="1"/>
    <col min="11244" max="11244" width="19" style="312" customWidth="1"/>
    <col min="11245" max="11245" width="8.88671875" style="312"/>
    <col min="11246" max="11246" width="19" style="312" customWidth="1"/>
    <col min="11247" max="11247" width="3.77734375" style="312" customWidth="1"/>
    <col min="11248" max="11248" width="19" style="312" customWidth="1"/>
    <col min="11249" max="11490" width="8.88671875" style="312"/>
    <col min="11491" max="11491" width="17.33203125" style="312" customWidth="1"/>
    <col min="11492" max="11492" width="20.88671875" style="312" customWidth="1"/>
    <col min="11493" max="11493" width="10.77734375" style="312" customWidth="1"/>
    <col min="11494" max="11494" width="19" style="312" customWidth="1"/>
    <col min="11495" max="11495" width="3.77734375" style="312" customWidth="1"/>
    <col min="11496" max="11496" width="19" style="312" customWidth="1"/>
    <col min="11497" max="11497" width="3.77734375" style="312" customWidth="1"/>
    <col min="11498" max="11498" width="19" style="312" customWidth="1"/>
    <col min="11499" max="11499" width="3.77734375" style="312" customWidth="1"/>
    <col min="11500" max="11500" width="19" style="312" customWidth="1"/>
    <col min="11501" max="11501" width="8.88671875" style="312"/>
    <col min="11502" max="11502" width="19" style="312" customWidth="1"/>
    <col min="11503" max="11503" width="3.77734375" style="312" customWidth="1"/>
    <col min="11504" max="11504" width="19" style="312" customWidth="1"/>
    <col min="11505" max="11746" width="8.88671875" style="312"/>
    <col min="11747" max="11747" width="17.33203125" style="312" customWidth="1"/>
    <col min="11748" max="11748" width="20.88671875" style="312" customWidth="1"/>
    <col min="11749" max="11749" width="10.77734375" style="312" customWidth="1"/>
    <col min="11750" max="11750" width="19" style="312" customWidth="1"/>
    <col min="11751" max="11751" width="3.77734375" style="312" customWidth="1"/>
    <col min="11752" max="11752" width="19" style="312" customWidth="1"/>
    <col min="11753" max="11753" width="3.77734375" style="312" customWidth="1"/>
    <col min="11754" max="11754" width="19" style="312" customWidth="1"/>
    <col min="11755" max="11755" width="3.77734375" style="312" customWidth="1"/>
    <col min="11756" max="11756" width="19" style="312" customWidth="1"/>
    <col min="11757" max="11757" width="8.88671875" style="312"/>
    <col min="11758" max="11758" width="19" style="312" customWidth="1"/>
    <col min="11759" max="11759" width="3.77734375" style="312" customWidth="1"/>
    <col min="11760" max="11760" width="19" style="312" customWidth="1"/>
    <col min="11761" max="12002" width="8.88671875" style="312"/>
    <col min="12003" max="12003" width="17.33203125" style="312" customWidth="1"/>
    <col min="12004" max="12004" width="20.88671875" style="312" customWidth="1"/>
    <col min="12005" max="12005" width="10.77734375" style="312" customWidth="1"/>
    <col min="12006" max="12006" width="19" style="312" customWidth="1"/>
    <col min="12007" max="12007" width="3.77734375" style="312" customWidth="1"/>
    <col min="12008" max="12008" width="19" style="312" customWidth="1"/>
    <col min="12009" max="12009" width="3.77734375" style="312" customWidth="1"/>
    <col min="12010" max="12010" width="19" style="312" customWidth="1"/>
    <col min="12011" max="12011" width="3.77734375" style="312" customWidth="1"/>
    <col min="12012" max="12012" width="19" style="312" customWidth="1"/>
    <col min="12013" max="12013" width="8.88671875" style="312"/>
    <col min="12014" max="12014" width="19" style="312" customWidth="1"/>
    <col min="12015" max="12015" width="3.77734375" style="312" customWidth="1"/>
    <col min="12016" max="12016" width="19" style="312" customWidth="1"/>
    <col min="12017" max="12258" width="8.88671875" style="312"/>
    <col min="12259" max="12259" width="17.33203125" style="312" customWidth="1"/>
    <col min="12260" max="12260" width="20.88671875" style="312" customWidth="1"/>
    <col min="12261" max="12261" width="10.77734375" style="312" customWidth="1"/>
    <col min="12262" max="12262" width="19" style="312" customWidth="1"/>
    <col min="12263" max="12263" width="3.77734375" style="312" customWidth="1"/>
    <col min="12264" max="12264" width="19" style="312" customWidth="1"/>
    <col min="12265" max="12265" width="3.77734375" style="312" customWidth="1"/>
    <col min="12266" max="12266" width="19" style="312" customWidth="1"/>
    <col min="12267" max="12267" width="3.77734375" style="312" customWidth="1"/>
    <col min="12268" max="12268" width="19" style="312" customWidth="1"/>
    <col min="12269" max="12269" width="8.88671875" style="312"/>
    <col min="12270" max="12270" width="19" style="312" customWidth="1"/>
    <col min="12271" max="12271" width="3.77734375" style="312" customWidth="1"/>
    <col min="12272" max="12272" width="19" style="312" customWidth="1"/>
    <col min="12273" max="12514" width="8.88671875" style="312"/>
    <col min="12515" max="12515" width="17.33203125" style="312" customWidth="1"/>
    <col min="12516" max="12516" width="20.88671875" style="312" customWidth="1"/>
    <col min="12517" max="12517" width="10.77734375" style="312" customWidth="1"/>
    <col min="12518" max="12518" width="19" style="312" customWidth="1"/>
    <col min="12519" max="12519" width="3.77734375" style="312" customWidth="1"/>
    <col min="12520" max="12520" width="19" style="312" customWidth="1"/>
    <col min="12521" max="12521" width="3.77734375" style="312" customWidth="1"/>
    <col min="12522" max="12522" width="19" style="312" customWidth="1"/>
    <col min="12523" max="12523" width="3.77734375" style="312" customWidth="1"/>
    <col min="12524" max="12524" width="19" style="312" customWidth="1"/>
    <col min="12525" max="12525" width="8.88671875" style="312"/>
    <col min="12526" max="12526" width="19" style="312" customWidth="1"/>
    <col min="12527" max="12527" width="3.77734375" style="312" customWidth="1"/>
    <col min="12528" max="12528" width="19" style="312" customWidth="1"/>
    <col min="12529" max="12770" width="8.88671875" style="312"/>
    <col min="12771" max="12771" width="17.33203125" style="312" customWidth="1"/>
    <col min="12772" max="12772" width="20.88671875" style="312" customWidth="1"/>
    <col min="12773" max="12773" width="10.77734375" style="312" customWidth="1"/>
    <col min="12774" max="12774" width="19" style="312" customWidth="1"/>
    <col min="12775" max="12775" width="3.77734375" style="312" customWidth="1"/>
    <col min="12776" max="12776" width="19" style="312" customWidth="1"/>
    <col min="12777" max="12777" width="3.77734375" style="312" customWidth="1"/>
    <col min="12778" max="12778" width="19" style="312" customWidth="1"/>
    <col min="12779" max="12779" width="3.77734375" style="312" customWidth="1"/>
    <col min="12780" max="12780" width="19" style="312" customWidth="1"/>
    <col min="12781" max="12781" width="8.88671875" style="312"/>
    <col min="12782" max="12782" width="19" style="312" customWidth="1"/>
    <col min="12783" max="12783" width="3.77734375" style="312" customWidth="1"/>
    <col min="12784" max="12784" width="19" style="312" customWidth="1"/>
    <col min="12785" max="13026" width="8.88671875" style="312"/>
    <col min="13027" max="13027" width="17.33203125" style="312" customWidth="1"/>
    <col min="13028" max="13028" width="20.88671875" style="312" customWidth="1"/>
    <col min="13029" max="13029" width="10.77734375" style="312" customWidth="1"/>
    <col min="13030" max="13030" width="19" style="312" customWidth="1"/>
    <col min="13031" max="13031" width="3.77734375" style="312" customWidth="1"/>
    <col min="13032" max="13032" width="19" style="312" customWidth="1"/>
    <col min="13033" max="13033" width="3.77734375" style="312" customWidth="1"/>
    <col min="13034" max="13034" width="19" style="312" customWidth="1"/>
    <col min="13035" max="13035" width="3.77734375" style="312" customWidth="1"/>
    <col min="13036" max="13036" width="19" style="312" customWidth="1"/>
    <col min="13037" max="13037" width="8.88671875" style="312"/>
    <col min="13038" max="13038" width="19" style="312" customWidth="1"/>
    <col min="13039" max="13039" width="3.77734375" style="312" customWidth="1"/>
    <col min="13040" max="13040" width="19" style="312" customWidth="1"/>
    <col min="13041" max="13282" width="8.88671875" style="312"/>
    <col min="13283" max="13283" width="17.33203125" style="312" customWidth="1"/>
    <col min="13284" max="13284" width="20.88671875" style="312" customWidth="1"/>
    <col min="13285" max="13285" width="10.77734375" style="312" customWidth="1"/>
    <col min="13286" max="13286" width="19" style="312" customWidth="1"/>
    <col min="13287" max="13287" width="3.77734375" style="312" customWidth="1"/>
    <col min="13288" max="13288" width="19" style="312" customWidth="1"/>
    <col min="13289" max="13289" width="3.77734375" style="312" customWidth="1"/>
    <col min="13290" max="13290" width="19" style="312" customWidth="1"/>
    <col min="13291" max="13291" width="3.77734375" style="312" customWidth="1"/>
    <col min="13292" max="13292" width="19" style="312" customWidth="1"/>
    <col min="13293" max="13293" width="8.88671875" style="312"/>
    <col min="13294" max="13294" width="19" style="312" customWidth="1"/>
    <col min="13295" max="13295" width="3.77734375" style="312" customWidth="1"/>
    <col min="13296" max="13296" width="19" style="312" customWidth="1"/>
    <col min="13297" max="13538" width="8.88671875" style="312"/>
    <col min="13539" max="13539" width="17.33203125" style="312" customWidth="1"/>
    <col min="13540" max="13540" width="20.88671875" style="312" customWidth="1"/>
    <col min="13541" max="13541" width="10.77734375" style="312" customWidth="1"/>
    <col min="13542" max="13542" width="19" style="312" customWidth="1"/>
    <col min="13543" max="13543" width="3.77734375" style="312" customWidth="1"/>
    <col min="13544" max="13544" width="19" style="312" customWidth="1"/>
    <col min="13545" max="13545" width="3.77734375" style="312" customWidth="1"/>
    <col min="13546" max="13546" width="19" style="312" customWidth="1"/>
    <col min="13547" max="13547" width="3.77734375" style="312" customWidth="1"/>
    <col min="13548" max="13548" width="19" style="312" customWidth="1"/>
    <col min="13549" max="13549" width="8.88671875" style="312"/>
    <col min="13550" max="13550" width="19" style="312" customWidth="1"/>
    <col min="13551" max="13551" width="3.77734375" style="312" customWidth="1"/>
    <col min="13552" max="13552" width="19" style="312" customWidth="1"/>
    <col min="13553" max="13794" width="8.88671875" style="312"/>
    <col min="13795" max="13795" width="17.33203125" style="312" customWidth="1"/>
    <col min="13796" max="13796" width="20.88671875" style="312" customWidth="1"/>
    <col min="13797" max="13797" width="10.77734375" style="312" customWidth="1"/>
    <col min="13798" max="13798" width="19" style="312" customWidth="1"/>
    <col min="13799" max="13799" width="3.77734375" style="312" customWidth="1"/>
    <col min="13800" max="13800" width="19" style="312" customWidth="1"/>
    <col min="13801" max="13801" width="3.77734375" style="312" customWidth="1"/>
    <col min="13802" max="13802" width="19" style="312" customWidth="1"/>
    <col min="13803" max="13803" width="3.77734375" style="312" customWidth="1"/>
    <col min="13804" max="13804" width="19" style="312" customWidth="1"/>
    <col min="13805" max="13805" width="8.88671875" style="312"/>
    <col min="13806" max="13806" width="19" style="312" customWidth="1"/>
    <col min="13807" max="13807" width="3.77734375" style="312" customWidth="1"/>
    <col min="13808" max="13808" width="19" style="312" customWidth="1"/>
    <col min="13809" max="14050" width="8.88671875" style="312"/>
    <col min="14051" max="14051" width="17.33203125" style="312" customWidth="1"/>
    <col min="14052" max="14052" width="20.88671875" style="312" customWidth="1"/>
    <col min="14053" max="14053" width="10.77734375" style="312" customWidth="1"/>
    <col min="14054" max="14054" width="19" style="312" customWidth="1"/>
    <col min="14055" max="14055" width="3.77734375" style="312" customWidth="1"/>
    <col min="14056" max="14056" width="19" style="312" customWidth="1"/>
    <col min="14057" max="14057" width="3.77734375" style="312" customWidth="1"/>
    <col min="14058" max="14058" width="19" style="312" customWidth="1"/>
    <col min="14059" max="14059" width="3.77734375" style="312" customWidth="1"/>
    <col min="14060" max="14060" width="19" style="312" customWidth="1"/>
    <col min="14061" max="14061" width="8.88671875" style="312"/>
    <col min="14062" max="14062" width="19" style="312" customWidth="1"/>
    <col min="14063" max="14063" width="3.77734375" style="312" customWidth="1"/>
    <col min="14064" max="14064" width="19" style="312" customWidth="1"/>
    <col min="14065" max="14306" width="8.88671875" style="312"/>
    <col min="14307" max="14307" width="17.33203125" style="312" customWidth="1"/>
    <col min="14308" max="14308" width="20.88671875" style="312" customWidth="1"/>
    <col min="14309" max="14309" width="10.77734375" style="312" customWidth="1"/>
    <col min="14310" max="14310" width="19" style="312" customWidth="1"/>
    <col min="14311" max="14311" width="3.77734375" style="312" customWidth="1"/>
    <col min="14312" max="14312" width="19" style="312" customWidth="1"/>
    <col min="14313" max="14313" width="3.77734375" style="312" customWidth="1"/>
    <col min="14314" max="14314" width="19" style="312" customWidth="1"/>
    <col min="14315" max="14315" width="3.77734375" style="312" customWidth="1"/>
    <col min="14316" max="14316" width="19" style="312" customWidth="1"/>
    <col min="14317" max="14317" width="8.88671875" style="312"/>
    <col min="14318" max="14318" width="19" style="312" customWidth="1"/>
    <col min="14319" max="14319" width="3.77734375" style="312" customWidth="1"/>
    <col min="14320" max="14320" width="19" style="312" customWidth="1"/>
    <col min="14321" max="14562" width="8.88671875" style="312"/>
    <col min="14563" max="14563" width="17.33203125" style="312" customWidth="1"/>
    <col min="14564" max="14564" width="20.88671875" style="312" customWidth="1"/>
    <col min="14565" max="14565" width="10.77734375" style="312" customWidth="1"/>
    <col min="14566" max="14566" width="19" style="312" customWidth="1"/>
    <col min="14567" max="14567" width="3.77734375" style="312" customWidth="1"/>
    <col min="14568" max="14568" width="19" style="312" customWidth="1"/>
    <col min="14569" max="14569" width="3.77734375" style="312" customWidth="1"/>
    <col min="14570" max="14570" width="19" style="312" customWidth="1"/>
    <col min="14571" max="14571" width="3.77734375" style="312" customWidth="1"/>
    <col min="14572" max="14572" width="19" style="312" customWidth="1"/>
    <col min="14573" max="14573" width="8.88671875" style="312"/>
    <col min="14574" max="14574" width="19" style="312" customWidth="1"/>
    <col min="14575" max="14575" width="3.77734375" style="312" customWidth="1"/>
    <col min="14576" max="14576" width="19" style="312" customWidth="1"/>
    <col min="14577" max="14818" width="8.88671875" style="312"/>
    <col min="14819" max="14819" width="17.33203125" style="312" customWidth="1"/>
    <col min="14820" max="14820" width="20.88671875" style="312" customWidth="1"/>
    <col min="14821" max="14821" width="10.77734375" style="312" customWidth="1"/>
    <col min="14822" max="14822" width="19" style="312" customWidth="1"/>
    <col min="14823" max="14823" width="3.77734375" style="312" customWidth="1"/>
    <col min="14824" max="14824" width="19" style="312" customWidth="1"/>
    <col min="14825" max="14825" width="3.77734375" style="312" customWidth="1"/>
    <col min="14826" max="14826" width="19" style="312" customWidth="1"/>
    <col min="14827" max="14827" width="3.77734375" style="312" customWidth="1"/>
    <col min="14828" max="14828" width="19" style="312" customWidth="1"/>
    <col min="14829" max="14829" width="8.88671875" style="312"/>
    <col min="14830" max="14830" width="19" style="312" customWidth="1"/>
    <col min="14831" max="14831" width="3.77734375" style="312" customWidth="1"/>
    <col min="14832" max="14832" width="19" style="312" customWidth="1"/>
    <col min="14833" max="15074" width="8.88671875" style="312"/>
    <col min="15075" max="15075" width="17.33203125" style="312" customWidth="1"/>
    <col min="15076" max="15076" width="20.88671875" style="312" customWidth="1"/>
    <col min="15077" max="15077" width="10.77734375" style="312" customWidth="1"/>
    <col min="15078" max="15078" width="19" style="312" customWidth="1"/>
    <col min="15079" max="15079" width="3.77734375" style="312" customWidth="1"/>
    <col min="15080" max="15080" width="19" style="312" customWidth="1"/>
    <col min="15081" max="15081" width="3.77734375" style="312" customWidth="1"/>
    <col min="15082" max="15082" width="19" style="312" customWidth="1"/>
    <col min="15083" max="15083" width="3.77734375" style="312" customWidth="1"/>
    <col min="15084" max="15084" width="19" style="312" customWidth="1"/>
    <col min="15085" max="15085" width="8.88671875" style="312"/>
    <col min="15086" max="15086" width="19" style="312" customWidth="1"/>
    <col min="15087" max="15087" width="3.77734375" style="312" customWidth="1"/>
    <col min="15088" max="15088" width="19" style="312" customWidth="1"/>
    <col min="15089" max="15330" width="8.88671875" style="312"/>
    <col min="15331" max="15331" width="17.33203125" style="312" customWidth="1"/>
    <col min="15332" max="15332" width="20.88671875" style="312" customWidth="1"/>
    <col min="15333" max="15333" width="10.77734375" style="312" customWidth="1"/>
    <col min="15334" max="15334" width="19" style="312" customWidth="1"/>
    <col min="15335" max="15335" width="3.77734375" style="312" customWidth="1"/>
    <col min="15336" max="15336" width="19" style="312" customWidth="1"/>
    <col min="15337" max="15337" width="3.77734375" style="312" customWidth="1"/>
    <col min="15338" max="15338" width="19" style="312" customWidth="1"/>
    <col min="15339" max="15339" width="3.77734375" style="312" customWidth="1"/>
    <col min="15340" max="15340" width="19" style="312" customWidth="1"/>
    <col min="15341" max="15341" width="8.88671875" style="312"/>
    <col min="15342" max="15342" width="19" style="312" customWidth="1"/>
    <col min="15343" max="15343" width="3.77734375" style="312" customWidth="1"/>
    <col min="15344" max="15344" width="19" style="312" customWidth="1"/>
    <col min="15345" max="15586" width="8.88671875" style="312"/>
    <col min="15587" max="15587" width="17.33203125" style="312" customWidth="1"/>
    <col min="15588" max="15588" width="20.88671875" style="312" customWidth="1"/>
    <col min="15589" max="15589" width="10.77734375" style="312" customWidth="1"/>
    <col min="15590" max="15590" width="19" style="312" customWidth="1"/>
    <col min="15591" max="15591" width="3.77734375" style="312" customWidth="1"/>
    <col min="15592" max="15592" width="19" style="312" customWidth="1"/>
    <col min="15593" max="15593" width="3.77734375" style="312" customWidth="1"/>
    <col min="15594" max="15594" width="19" style="312" customWidth="1"/>
    <col min="15595" max="15595" width="3.77734375" style="312" customWidth="1"/>
    <col min="15596" max="15596" width="19" style="312" customWidth="1"/>
    <col min="15597" max="15597" width="8.88671875" style="312"/>
    <col min="15598" max="15598" width="19" style="312" customWidth="1"/>
    <col min="15599" max="15599" width="3.77734375" style="312" customWidth="1"/>
    <col min="15600" max="15600" width="19" style="312" customWidth="1"/>
    <col min="15601" max="15842" width="8.88671875" style="312"/>
    <col min="15843" max="15843" width="17.33203125" style="312" customWidth="1"/>
    <col min="15844" max="15844" width="20.88671875" style="312" customWidth="1"/>
    <col min="15845" max="15845" width="10.77734375" style="312" customWidth="1"/>
    <col min="15846" max="15846" width="19" style="312" customWidth="1"/>
    <col min="15847" max="15847" width="3.77734375" style="312" customWidth="1"/>
    <col min="15848" max="15848" width="19" style="312" customWidth="1"/>
    <col min="15849" max="15849" width="3.77734375" style="312" customWidth="1"/>
    <col min="15850" max="15850" width="19" style="312" customWidth="1"/>
    <col min="15851" max="15851" width="3.77734375" style="312" customWidth="1"/>
    <col min="15852" max="15852" width="19" style="312" customWidth="1"/>
    <col min="15853" max="15853" width="8.88671875" style="312"/>
    <col min="15854" max="15854" width="19" style="312" customWidth="1"/>
    <col min="15855" max="15855" width="3.77734375" style="312" customWidth="1"/>
    <col min="15856" max="15856" width="19" style="312" customWidth="1"/>
    <col min="15857" max="16098" width="8.88671875" style="312"/>
    <col min="16099" max="16099" width="17.33203125" style="312" customWidth="1"/>
    <col min="16100" max="16100" width="20.88671875" style="312" customWidth="1"/>
    <col min="16101" max="16101" width="10.77734375" style="312" customWidth="1"/>
    <col min="16102" max="16102" width="19" style="312" customWidth="1"/>
    <col min="16103" max="16103" width="3.77734375" style="312" customWidth="1"/>
    <col min="16104" max="16104" width="19" style="312" customWidth="1"/>
    <col min="16105" max="16105" width="3.77734375" style="312" customWidth="1"/>
    <col min="16106" max="16106" width="19" style="312" customWidth="1"/>
    <col min="16107" max="16107" width="3.77734375" style="312" customWidth="1"/>
    <col min="16108" max="16108" width="19" style="312" customWidth="1"/>
    <col min="16109" max="16109" width="8.88671875" style="312"/>
    <col min="16110" max="16110" width="19" style="312" customWidth="1"/>
    <col min="16111" max="16111" width="3.77734375" style="312" customWidth="1"/>
    <col min="16112" max="16112" width="19" style="312" customWidth="1"/>
    <col min="16113" max="16384" width="8.88671875" style="312"/>
  </cols>
  <sheetData>
    <row r="1" spans="1:26" s="302" customFormat="1" ht="15.75" x14ac:dyDescent="0.25">
      <c r="A1" s="298" t="s">
        <v>0</v>
      </c>
      <c r="B1" s="299"/>
      <c r="C1" s="299"/>
      <c r="D1" s="300"/>
      <c r="E1" s="299"/>
      <c r="F1" s="300"/>
      <c r="G1" s="299"/>
      <c r="H1" s="300"/>
      <c r="I1" s="299"/>
      <c r="J1" s="301"/>
      <c r="K1" s="299"/>
      <c r="L1" s="301"/>
      <c r="M1" s="299"/>
      <c r="N1" s="300"/>
      <c r="O1" s="299"/>
      <c r="P1" s="301"/>
      <c r="Q1" s="299"/>
      <c r="R1" s="301"/>
      <c r="S1" s="299"/>
      <c r="T1" s="300"/>
    </row>
    <row r="2" spans="1:26" s="302" customFormat="1" ht="15.75" x14ac:dyDescent="0.25">
      <c r="A2" s="303" t="s">
        <v>191</v>
      </c>
      <c r="B2" s="304"/>
      <c r="C2" s="304"/>
      <c r="D2" s="305"/>
      <c r="E2" s="304"/>
      <c r="F2" s="305"/>
      <c r="G2" s="304"/>
      <c r="H2" s="305"/>
      <c r="I2" s="304"/>
      <c r="J2" s="301"/>
      <c r="K2" s="304"/>
      <c r="L2" s="301"/>
      <c r="M2" s="304"/>
      <c r="N2" s="305"/>
      <c r="O2" s="304"/>
      <c r="P2" s="301"/>
      <c r="Q2" s="304"/>
      <c r="R2" s="301"/>
      <c r="S2" s="304"/>
      <c r="T2" s="305"/>
    </row>
    <row r="3" spans="1:26" s="302" customFormat="1" ht="15.75" x14ac:dyDescent="0.25">
      <c r="A3" s="306" t="s">
        <v>192</v>
      </c>
      <c r="B3" s="304"/>
      <c r="C3" s="304"/>
      <c r="D3" s="305"/>
      <c r="E3" s="304"/>
      <c r="F3" s="305"/>
      <c r="G3" s="304"/>
      <c r="H3" s="305"/>
      <c r="I3" s="304"/>
      <c r="J3" s="301"/>
      <c r="K3" s="304"/>
      <c r="L3" s="301"/>
      <c r="M3" s="304"/>
      <c r="N3" s="305"/>
      <c r="O3" s="304"/>
      <c r="P3" s="301"/>
      <c r="Q3" s="304"/>
      <c r="R3" s="301"/>
      <c r="S3" s="304"/>
      <c r="T3" s="305"/>
    </row>
    <row r="4" spans="1:26" s="302" customFormat="1" ht="15.75" x14ac:dyDescent="0.25">
      <c r="A4" s="307" t="s">
        <v>12</v>
      </c>
      <c r="B4" s="304"/>
      <c r="C4" s="304"/>
      <c r="D4" s="305"/>
      <c r="E4" s="304"/>
      <c r="F4" s="305"/>
      <c r="G4" s="304"/>
      <c r="H4" s="305"/>
      <c r="I4" s="304"/>
      <c r="J4" s="301"/>
      <c r="K4" s="304"/>
      <c r="L4" s="301"/>
      <c r="M4" s="304"/>
      <c r="N4" s="305"/>
      <c r="O4" s="304"/>
      <c r="P4" s="301"/>
      <c r="Q4" s="304"/>
      <c r="R4" s="301"/>
      <c r="S4" s="304"/>
      <c r="T4" s="305"/>
    </row>
    <row r="5" spans="1:26" s="302" customFormat="1" ht="15.75" x14ac:dyDescent="0.25">
      <c r="A5" s="307"/>
      <c r="B5" s="308"/>
      <c r="C5" s="309"/>
      <c r="D5" s="310"/>
      <c r="E5" s="309"/>
      <c r="F5" s="310"/>
      <c r="G5" s="309"/>
      <c r="H5" s="310"/>
      <c r="I5" s="309"/>
      <c r="J5" s="301"/>
      <c r="K5" s="309"/>
      <c r="L5" s="301"/>
      <c r="M5" s="309"/>
      <c r="N5" s="310"/>
      <c r="O5" s="309"/>
      <c r="P5" s="301"/>
      <c r="Q5" s="309"/>
      <c r="R5" s="301"/>
      <c r="S5" s="309"/>
      <c r="T5" s="310"/>
    </row>
    <row r="6" spans="1:26" ht="16.5" thickBot="1" x14ac:dyDescent="0.3">
      <c r="A6" s="311"/>
      <c r="B6" s="311"/>
      <c r="C6" s="405" t="s">
        <v>193</v>
      </c>
      <c r="D6" s="405"/>
      <c r="E6" s="405"/>
      <c r="F6" s="405"/>
      <c r="G6" s="405"/>
      <c r="I6" s="405" t="s">
        <v>194</v>
      </c>
      <c r="J6" s="405"/>
      <c r="K6" s="405"/>
      <c r="L6" s="405"/>
      <c r="M6" s="405"/>
      <c r="O6" s="405" t="s">
        <v>195</v>
      </c>
      <c r="P6" s="405"/>
      <c r="Q6" s="405"/>
      <c r="R6" s="405"/>
      <c r="S6" s="405"/>
      <c r="U6" s="405" t="s">
        <v>196</v>
      </c>
      <c r="V6" s="405"/>
      <c r="W6" s="405"/>
      <c r="X6" s="405"/>
      <c r="Y6" s="405"/>
      <c r="Z6" s="301"/>
    </row>
    <row r="7" spans="1:26" s="316" customFormat="1" ht="47.25" x14ac:dyDescent="0.25">
      <c r="A7" s="305" t="s">
        <v>13</v>
      </c>
      <c r="B7" s="305"/>
      <c r="C7" s="313" t="s">
        <v>197</v>
      </c>
      <c r="D7" s="314"/>
      <c r="E7" s="313" t="s">
        <v>198</v>
      </c>
      <c r="F7" s="314"/>
      <c r="G7" s="313" t="s">
        <v>199</v>
      </c>
      <c r="H7" s="315"/>
      <c r="I7" s="313" t="s">
        <v>197</v>
      </c>
      <c r="J7" s="314"/>
      <c r="K7" s="313" t="s">
        <v>198</v>
      </c>
      <c r="L7" s="314"/>
      <c r="M7" s="313" t="s">
        <v>199</v>
      </c>
      <c r="N7" s="315"/>
      <c r="O7" s="313" t="s">
        <v>197</v>
      </c>
      <c r="P7" s="314"/>
      <c r="Q7" s="313" t="s">
        <v>198</v>
      </c>
      <c r="R7" s="314"/>
      <c r="S7" s="313" t="s">
        <v>199</v>
      </c>
      <c r="T7" s="315"/>
      <c r="U7" s="313" t="s">
        <v>197</v>
      </c>
      <c r="V7" s="314"/>
      <c r="W7" s="313" t="s">
        <v>198</v>
      </c>
      <c r="X7" s="314"/>
      <c r="Y7" s="313" t="s">
        <v>199</v>
      </c>
      <c r="Z7" s="315"/>
    </row>
    <row r="8" spans="1:26" ht="5.45" customHeight="1" x14ac:dyDescent="0.25">
      <c r="A8" s="317"/>
      <c r="B8" s="310"/>
      <c r="C8" s="318"/>
      <c r="D8" s="319"/>
      <c r="E8" s="318"/>
      <c r="F8" s="319"/>
      <c r="G8" s="318"/>
      <c r="H8" s="319"/>
      <c r="I8" s="320"/>
      <c r="K8" s="318"/>
      <c r="M8" s="318"/>
      <c r="N8" s="319"/>
      <c r="O8" s="320"/>
      <c r="Q8" s="318"/>
      <c r="S8" s="318"/>
      <c r="T8" s="319"/>
      <c r="U8" s="320"/>
      <c r="V8" s="301"/>
      <c r="W8" s="318"/>
      <c r="X8" s="301"/>
      <c r="Y8" s="318"/>
      <c r="Z8" s="319"/>
    </row>
    <row r="9" spans="1:26" ht="15.75" x14ac:dyDescent="0.25">
      <c r="A9" s="321" t="s">
        <v>97</v>
      </c>
      <c r="B9" s="310"/>
      <c r="C9" s="322">
        <f>C77</f>
        <v>3134</v>
      </c>
      <c r="D9" s="314"/>
      <c r="E9" s="322">
        <f>E77</f>
        <v>0</v>
      </c>
      <c r="F9" s="322"/>
      <c r="G9" s="322">
        <f>G77</f>
        <v>3134</v>
      </c>
      <c r="H9" s="319"/>
      <c r="I9" s="322">
        <f>I77-C77</f>
        <v>4131</v>
      </c>
      <c r="J9" s="314"/>
      <c r="K9" s="322">
        <f>K77-E77</f>
        <v>0</v>
      </c>
      <c r="L9" s="322"/>
      <c r="M9" s="322">
        <f>M77-G77</f>
        <v>4131</v>
      </c>
      <c r="N9" s="319"/>
      <c r="O9" s="322">
        <f>O77-I77</f>
        <v>3921</v>
      </c>
      <c r="P9" s="314"/>
      <c r="Q9" s="322">
        <f>Q77-K77</f>
        <v>0</v>
      </c>
      <c r="R9" s="322"/>
      <c r="S9" s="322">
        <f>S77-M77</f>
        <v>3921</v>
      </c>
      <c r="T9" s="319"/>
      <c r="U9" s="322">
        <f>U77-O77</f>
        <v>4384</v>
      </c>
      <c r="V9" s="314"/>
      <c r="W9" s="322">
        <f>W77-Q77</f>
        <v>0</v>
      </c>
      <c r="X9" s="322"/>
      <c r="Y9" s="322">
        <f>Y77-S77</f>
        <v>4384</v>
      </c>
      <c r="Z9" s="319"/>
    </row>
    <row r="10" spans="1:26" ht="3" customHeight="1" x14ac:dyDescent="0.25">
      <c r="A10" s="321"/>
      <c r="B10" s="310"/>
      <c r="C10" s="322"/>
      <c r="D10" s="314"/>
      <c r="E10" s="322"/>
      <c r="F10" s="322"/>
      <c r="G10" s="322"/>
      <c r="H10" s="319"/>
      <c r="I10" s="322"/>
      <c r="J10" s="314"/>
      <c r="K10" s="322"/>
      <c r="L10" s="322"/>
      <c r="M10" s="322"/>
      <c r="N10" s="319"/>
      <c r="O10" s="322"/>
      <c r="P10" s="314"/>
      <c r="Q10" s="322"/>
      <c r="R10" s="322"/>
      <c r="S10" s="322"/>
      <c r="T10" s="319"/>
      <c r="U10" s="322"/>
      <c r="V10" s="314"/>
      <c r="W10" s="322"/>
      <c r="X10" s="322"/>
      <c r="Y10" s="322"/>
      <c r="Z10" s="319"/>
    </row>
    <row r="11" spans="1:26" ht="15.75" x14ac:dyDescent="0.25">
      <c r="A11" s="321" t="s">
        <v>200</v>
      </c>
      <c r="B11" s="310"/>
      <c r="C11" s="323">
        <f t="shared" ref="C11:E11" si="0">C79</f>
        <v>1390</v>
      </c>
      <c r="D11" s="324"/>
      <c r="E11" s="323">
        <f t="shared" si="0"/>
        <v>-1390</v>
      </c>
      <c r="F11" s="324"/>
      <c r="G11" s="325">
        <f t="shared" ref="G11" si="1">G79</f>
        <v>0</v>
      </c>
      <c r="H11" s="319"/>
      <c r="I11" s="326">
        <f>I79-C79</f>
        <v>1408</v>
      </c>
      <c r="J11" s="324"/>
      <c r="K11" s="326">
        <f>K79-E79</f>
        <v>-1408</v>
      </c>
      <c r="L11" s="324"/>
      <c r="M11" s="326">
        <f>M79-G79</f>
        <v>0</v>
      </c>
      <c r="N11" s="319"/>
      <c r="O11" s="326">
        <f>O79-I79</f>
        <v>1401</v>
      </c>
      <c r="P11" s="324"/>
      <c r="Q11" s="326">
        <f>Q79-K79</f>
        <v>-1401</v>
      </c>
      <c r="R11" s="324"/>
      <c r="S11" s="326">
        <f>S79-M79</f>
        <v>0</v>
      </c>
      <c r="T11" s="319"/>
      <c r="U11" s="326">
        <f>U79-O79</f>
        <v>1397</v>
      </c>
      <c r="V11" s="324"/>
      <c r="W11" s="326">
        <f>W79-Q79</f>
        <v>-1397</v>
      </c>
      <c r="X11" s="324"/>
      <c r="Y11" s="326">
        <f>Y79-S79</f>
        <v>0</v>
      </c>
      <c r="Z11" s="319"/>
    </row>
    <row r="12" spans="1:26" ht="3.6" customHeight="1" x14ac:dyDescent="0.25">
      <c r="A12" s="321"/>
      <c r="B12" s="310"/>
      <c r="C12" s="323"/>
      <c r="D12" s="324"/>
      <c r="E12" s="323"/>
      <c r="F12" s="324"/>
      <c r="G12" s="325"/>
      <c r="H12" s="319"/>
      <c r="I12" s="326"/>
      <c r="J12" s="324"/>
      <c r="K12" s="326"/>
      <c r="L12" s="324"/>
      <c r="M12" s="326"/>
      <c r="N12" s="319"/>
      <c r="O12" s="326"/>
      <c r="P12" s="324"/>
      <c r="Q12" s="326"/>
      <c r="R12" s="324"/>
      <c r="S12" s="326"/>
      <c r="T12" s="319"/>
      <c r="U12" s="326"/>
      <c r="V12" s="324"/>
      <c r="W12" s="326"/>
      <c r="X12" s="324"/>
      <c r="Y12" s="326"/>
      <c r="Z12" s="319"/>
    </row>
    <row r="13" spans="1:26" ht="15.75" x14ac:dyDescent="0.25">
      <c r="A13" s="321" t="s">
        <v>98</v>
      </c>
      <c r="B13" s="310"/>
      <c r="C13" s="323">
        <f>C81</f>
        <v>1383</v>
      </c>
      <c r="D13" s="324"/>
      <c r="E13" s="325">
        <f>E81</f>
        <v>0</v>
      </c>
      <c r="F13" s="324"/>
      <c r="G13" s="323">
        <f t="shared" ref="G13" si="2">G81</f>
        <v>1383</v>
      </c>
      <c r="H13" s="319"/>
      <c r="I13" s="326">
        <f>I81-C81</f>
        <v>1649</v>
      </c>
      <c r="J13" s="324"/>
      <c r="K13" s="326">
        <f>K81-E81</f>
        <v>0</v>
      </c>
      <c r="L13" s="324"/>
      <c r="M13" s="326">
        <f>M81-G81</f>
        <v>1649</v>
      </c>
      <c r="N13" s="319"/>
      <c r="O13" s="326">
        <f>O81-I81</f>
        <v>1769</v>
      </c>
      <c r="P13" s="324"/>
      <c r="Q13" s="326">
        <f>Q81-K81</f>
        <v>0</v>
      </c>
      <c r="R13" s="324"/>
      <c r="S13" s="326">
        <f>S81-M81</f>
        <v>1769</v>
      </c>
      <c r="T13" s="319"/>
      <c r="U13" s="326">
        <f>U81-O81</f>
        <v>1969</v>
      </c>
      <c r="V13" s="324"/>
      <c r="W13" s="326">
        <f>W81-Q81</f>
        <v>0</v>
      </c>
      <c r="X13" s="324"/>
      <c r="Y13" s="326">
        <f>Y81-S81</f>
        <v>1969</v>
      </c>
      <c r="Z13" s="319"/>
    </row>
    <row r="14" spans="1:26" ht="3" customHeight="1" x14ac:dyDescent="0.25">
      <c r="A14" s="321"/>
      <c r="B14" s="310"/>
      <c r="C14" s="323"/>
      <c r="D14" s="324"/>
      <c r="E14" s="325"/>
      <c r="F14" s="324"/>
      <c r="G14" s="323"/>
      <c r="H14" s="319"/>
      <c r="I14" s="326"/>
      <c r="J14" s="324"/>
      <c r="K14" s="326"/>
      <c r="L14" s="324"/>
      <c r="M14" s="326"/>
      <c r="N14" s="319"/>
      <c r="O14" s="326"/>
      <c r="P14" s="324"/>
      <c r="Q14" s="326"/>
      <c r="R14" s="324"/>
      <c r="S14" s="326"/>
      <c r="T14" s="319"/>
      <c r="U14" s="326"/>
      <c r="V14" s="324"/>
      <c r="W14" s="326"/>
      <c r="X14" s="324"/>
      <c r="Y14" s="326"/>
      <c r="Z14" s="319"/>
    </row>
    <row r="15" spans="1:26" ht="15.75" x14ac:dyDescent="0.25">
      <c r="A15" s="321" t="s">
        <v>126</v>
      </c>
      <c r="B15" s="310"/>
      <c r="C15" s="323">
        <f>C83</f>
        <v>1979</v>
      </c>
      <c r="D15" s="324"/>
      <c r="E15" s="325">
        <f>E83</f>
        <v>0</v>
      </c>
      <c r="F15" s="324"/>
      <c r="G15" s="323">
        <f t="shared" ref="G15" si="3">G83</f>
        <v>1979</v>
      </c>
      <c r="H15" s="319"/>
      <c r="I15" s="326">
        <f>I83-C83</f>
        <v>2165</v>
      </c>
      <c r="J15" s="324"/>
      <c r="K15" s="326">
        <f>K83-E83</f>
        <v>0</v>
      </c>
      <c r="L15" s="324"/>
      <c r="M15" s="326">
        <f>M83-G83</f>
        <v>2165</v>
      </c>
      <c r="N15" s="319"/>
      <c r="O15" s="326">
        <f>O83-I83</f>
        <v>2162</v>
      </c>
      <c r="P15" s="324"/>
      <c r="Q15" s="326">
        <f>Q83-K83</f>
        <v>0</v>
      </c>
      <c r="R15" s="324"/>
      <c r="S15" s="326">
        <f>S83-M83</f>
        <v>2162</v>
      </c>
      <c r="T15" s="319"/>
      <c r="U15" s="326">
        <f>U83-O83</f>
        <v>2785</v>
      </c>
      <c r="V15" s="324"/>
      <c r="W15" s="326">
        <f>W83-Q83</f>
        <v>0</v>
      </c>
      <c r="X15" s="324"/>
      <c r="Y15" s="326">
        <f>Y83-S83</f>
        <v>2785</v>
      </c>
      <c r="Z15" s="319"/>
    </row>
    <row r="16" spans="1:26" ht="4.1500000000000004" customHeight="1" x14ac:dyDescent="0.25">
      <c r="A16" s="321"/>
      <c r="B16" s="310"/>
      <c r="C16" s="323"/>
      <c r="D16" s="324"/>
      <c r="E16" s="325"/>
      <c r="F16" s="324"/>
      <c r="G16" s="323"/>
      <c r="H16" s="319"/>
      <c r="I16" s="326"/>
      <c r="J16" s="324"/>
      <c r="K16" s="326"/>
      <c r="L16" s="324"/>
      <c r="M16" s="326"/>
      <c r="N16" s="319"/>
      <c r="O16" s="326"/>
      <c r="P16" s="324"/>
      <c r="Q16" s="326"/>
      <c r="R16" s="324"/>
      <c r="S16" s="326"/>
      <c r="T16" s="319"/>
      <c r="U16" s="326"/>
      <c r="V16" s="324"/>
      <c r="W16" s="326"/>
      <c r="X16" s="324"/>
      <c r="Y16" s="326"/>
      <c r="Z16" s="319"/>
    </row>
    <row r="17" spans="1:26" ht="15.75" x14ac:dyDescent="0.25">
      <c r="A17" s="321" t="s">
        <v>99</v>
      </c>
      <c r="B17" s="310"/>
      <c r="C17" s="323">
        <f>C85</f>
        <v>2225</v>
      </c>
      <c r="D17" s="327"/>
      <c r="E17" s="325">
        <f>E85</f>
        <v>0</v>
      </c>
      <c r="F17" s="327"/>
      <c r="G17" s="323">
        <f t="shared" ref="G17" si="4">G85</f>
        <v>2225</v>
      </c>
      <c r="H17" s="319"/>
      <c r="I17" s="326">
        <f>I85-C85</f>
        <v>2290</v>
      </c>
      <c r="J17" s="327"/>
      <c r="K17" s="326">
        <f>K85-E85</f>
        <v>0</v>
      </c>
      <c r="L17" s="327"/>
      <c r="M17" s="326">
        <f>M85-G85</f>
        <v>2290</v>
      </c>
      <c r="N17" s="319"/>
      <c r="O17" s="326">
        <f>O85-I85</f>
        <v>2208</v>
      </c>
      <c r="P17" s="327"/>
      <c r="Q17" s="326">
        <f>Q85-K85</f>
        <v>0</v>
      </c>
      <c r="R17" s="327"/>
      <c r="S17" s="326">
        <f>S85-M85</f>
        <v>2208</v>
      </c>
      <c r="T17" s="319"/>
      <c r="U17" s="326">
        <f>U85-O85</f>
        <v>2382</v>
      </c>
      <c r="V17" s="327"/>
      <c r="W17" s="326">
        <f>W85-Q85</f>
        <v>0</v>
      </c>
      <c r="X17" s="327"/>
      <c r="Y17" s="326">
        <f>Y85-S85</f>
        <v>2382</v>
      </c>
      <c r="Z17" s="319"/>
    </row>
    <row r="18" spans="1:26" ht="3" customHeight="1" x14ac:dyDescent="0.25">
      <c r="A18" s="321"/>
      <c r="B18" s="310"/>
      <c r="C18" s="318"/>
      <c r="D18" s="319"/>
      <c r="E18" s="318"/>
      <c r="F18" s="319"/>
      <c r="G18" s="318"/>
      <c r="H18" s="319"/>
      <c r="I18" s="318"/>
      <c r="J18" s="319"/>
      <c r="K18" s="318"/>
      <c r="L18" s="319"/>
      <c r="M18" s="318"/>
      <c r="N18" s="319"/>
      <c r="O18" s="318"/>
      <c r="P18" s="319"/>
      <c r="Q18" s="318"/>
      <c r="R18" s="319"/>
      <c r="S18" s="318"/>
      <c r="T18" s="319"/>
      <c r="U18" s="318"/>
      <c r="V18" s="319"/>
      <c r="W18" s="318"/>
      <c r="X18" s="319"/>
      <c r="Y18" s="318"/>
      <c r="Z18" s="319"/>
    </row>
    <row r="19" spans="1:26" ht="15.75" x14ac:dyDescent="0.25">
      <c r="A19" s="328" t="s">
        <v>2</v>
      </c>
      <c r="B19" s="310"/>
      <c r="C19" s="329">
        <f>SUM(C9:C17)</f>
        <v>10111</v>
      </c>
      <c r="D19" s="330"/>
      <c r="E19" s="329">
        <f>SUM(E9:E17)</f>
        <v>-1390</v>
      </c>
      <c r="F19" s="330"/>
      <c r="G19" s="329">
        <f>SUM(G9:G17)</f>
        <v>8721</v>
      </c>
      <c r="H19" s="331"/>
      <c r="I19" s="332">
        <f>I87-C87</f>
        <v>11643</v>
      </c>
      <c r="J19" s="331"/>
      <c r="K19" s="332">
        <f>K87-E87</f>
        <v>-1408</v>
      </c>
      <c r="L19" s="331"/>
      <c r="M19" s="332">
        <f>M87-G87</f>
        <v>10235</v>
      </c>
      <c r="N19" s="331"/>
      <c r="O19" s="332">
        <f>O87-I87</f>
        <v>11461</v>
      </c>
      <c r="P19" s="331"/>
      <c r="Q19" s="332">
        <f>Q87-K87</f>
        <v>-1401</v>
      </c>
      <c r="R19" s="331"/>
      <c r="S19" s="332">
        <f>S87-M87</f>
        <v>10060</v>
      </c>
      <c r="T19" s="331"/>
      <c r="U19" s="332">
        <f>U87-O87</f>
        <v>12917</v>
      </c>
      <c r="V19" s="331"/>
      <c r="W19" s="332">
        <f>W87-Q87</f>
        <v>-1397</v>
      </c>
      <c r="X19" s="331"/>
      <c r="Y19" s="332">
        <f>Y87-S87</f>
        <v>11520</v>
      </c>
      <c r="Z19" s="331"/>
    </row>
    <row r="20" spans="1:26" ht="5.0999999999999996" customHeight="1" x14ac:dyDescent="0.25">
      <c r="A20" s="328"/>
      <c r="B20" s="310"/>
      <c r="C20" s="333"/>
      <c r="D20" s="331"/>
      <c r="E20" s="333"/>
      <c r="F20" s="331"/>
      <c r="G20" s="333"/>
      <c r="H20" s="331"/>
      <c r="I20" s="333"/>
      <c r="J20" s="331"/>
      <c r="K20" s="333"/>
      <c r="L20" s="331"/>
      <c r="M20" s="333"/>
      <c r="N20" s="331"/>
      <c r="O20" s="333"/>
      <c r="P20" s="331"/>
      <c r="Q20" s="333"/>
      <c r="R20" s="331"/>
      <c r="S20" s="333"/>
      <c r="T20" s="331"/>
      <c r="U20" s="333"/>
      <c r="V20" s="331"/>
      <c r="W20" s="333"/>
      <c r="X20" s="331"/>
      <c r="Y20" s="333"/>
      <c r="Z20" s="331"/>
    </row>
    <row r="21" spans="1:26" ht="5.0999999999999996" customHeight="1" x14ac:dyDescent="0.25">
      <c r="A21" s="328"/>
      <c r="B21" s="310"/>
      <c r="C21" s="333"/>
      <c r="D21" s="331"/>
      <c r="E21" s="333"/>
      <c r="F21" s="331"/>
      <c r="G21" s="333"/>
      <c r="H21" s="331"/>
      <c r="I21" s="333"/>
      <c r="J21" s="331"/>
      <c r="K21" s="333"/>
      <c r="L21" s="331"/>
      <c r="M21" s="333"/>
      <c r="N21" s="331"/>
      <c r="O21" s="333"/>
      <c r="P21" s="331"/>
      <c r="Q21" s="333"/>
      <c r="R21" s="331"/>
      <c r="S21" s="333"/>
      <c r="T21" s="331"/>
      <c r="U21" s="333"/>
      <c r="V21" s="331"/>
      <c r="W21" s="333"/>
      <c r="X21" s="331"/>
      <c r="Y21" s="333"/>
      <c r="Z21" s="331"/>
    </row>
    <row r="22" spans="1:26" s="316" customFormat="1" ht="15.75" x14ac:dyDescent="0.25">
      <c r="A22" s="321" t="s">
        <v>97</v>
      </c>
      <c r="B22" s="310"/>
      <c r="C22" s="333">
        <f>C89</f>
        <v>371</v>
      </c>
      <c r="D22" s="334"/>
      <c r="E22" s="333">
        <f>E89</f>
        <v>0</v>
      </c>
      <c r="F22" s="334"/>
      <c r="G22" s="333">
        <f>G89</f>
        <v>371</v>
      </c>
      <c r="H22" s="334"/>
      <c r="I22" s="326">
        <f>I89-C89</f>
        <v>444</v>
      </c>
      <c r="J22" s="334"/>
      <c r="K22" s="326">
        <f>K89-E89</f>
        <v>0</v>
      </c>
      <c r="L22" s="334"/>
      <c r="M22" s="326">
        <f>M89-G89</f>
        <v>444</v>
      </c>
      <c r="N22" s="334"/>
      <c r="O22" s="326">
        <f>O89-I89</f>
        <v>418</v>
      </c>
      <c r="P22" s="334"/>
      <c r="Q22" s="326">
        <f>Q89-K89</f>
        <v>0</v>
      </c>
      <c r="R22" s="334"/>
      <c r="S22" s="326">
        <f>S89-M89</f>
        <v>418</v>
      </c>
      <c r="T22" s="334"/>
      <c r="U22" s="326">
        <f>U89-O89</f>
        <v>448</v>
      </c>
      <c r="V22" s="334"/>
      <c r="W22" s="326">
        <f>W89-Q89</f>
        <v>0</v>
      </c>
      <c r="X22" s="334"/>
      <c r="Y22" s="326">
        <f>Y89-S89</f>
        <v>448</v>
      </c>
      <c r="Z22" s="334"/>
    </row>
    <row r="23" spans="1:26" s="316" customFormat="1" ht="3.6" customHeight="1" x14ac:dyDescent="0.25">
      <c r="A23" s="321"/>
      <c r="B23" s="310"/>
      <c r="C23" s="333"/>
      <c r="D23" s="334"/>
      <c r="E23" s="333"/>
      <c r="F23" s="334"/>
      <c r="G23" s="333"/>
      <c r="H23" s="334"/>
      <c r="I23" s="326"/>
      <c r="J23" s="334"/>
      <c r="K23" s="326"/>
      <c r="L23" s="334"/>
      <c r="M23" s="326"/>
      <c r="N23" s="334"/>
      <c r="O23" s="326"/>
      <c r="P23" s="334"/>
      <c r="Q23" s="326"/>
      <c r="R23" s="334"/>
      <c r="S23" s="326"/>
      <c r="T23" s="334"/>
      <c r="U23" s="326"/>
      <c r="V23" s="334"/>
      <c r="W23" s="326"/>
      <c r="X23" s="334"/>
      <c r="Y23" s="326"/>
      <c r="Z23" s="334"/>
    </row>
    <row r="24" spans="1:26" s="316" customFormat="1" ht="15.75" x14ac:dyDescent="0.25">
      <c r="A24" s="321" t="s">
        <v>200</v>
      </c>
      <c r="B24" s="310"/>
      <c r="C24" s="333">
        <f>C91</f>
        <v>145</v>
      </c>
      <c r="D24" s="334"/>
      <c r="E24" s="333">
        <f>E91</f>
        <v>-145</v>
      </c>
      <c r="F24" s="334"/>
      <c r="G24" s="333">
        <f>G91</f>
        <v>0</v>
      </c>
      <c r="H24" s="334"/>
      <c r="I24" s="326">
        <f>I91-C91</f>
        <v>107</v>
      </c>
      <c r="J24" s="334"/>
      <c r="K24" s="326">
        <f>K91-E91</f>
        <v>-107</v>
      </c>
      <c r="L24" s="334"/>
      <c r="M24" s="326">
        <f>M91-G91</f>
        <v>0</v>
      </c>
      <c r="N24" s="334"/>
      <c r="O24" s="326">
        <f>O91-I91</f>
        <v>125</v>
      </c>
      <c r="P24" s="334"/>
      <c r="Q24" s="326">
        <f>Q91-K91</f>
        <v>-125</v>
      </c>
      <c r="R24" s="334"/>
      <c r="S24" s="326">
        <f>S91-M91</f>
        <v>0</v>
      </c>
      <c r="T24" s="334"/>
      <c r="U24" s="326">
        <f>U91-O91</f>
        <v>131</v>
      </c>
      <c r="V24" s="334"/>
      <c r="W24" s="326">
        <f>W91-Q91</f>
        <v>-131</v>
      </c>
      <c r="X24" s="334"/>
      <c r="Y24" s="326">
        <f>Y91-S91</f>
        <v>0</v>
      </c>
      <c r="Z24" s="334"/>
    </row>
    <row r="25" spans="1:26" s="316" customFormat="1" ht="3" customHeight="1" x14ac:dyDescent="0.25">
      <c r="A25" s="321"/>
      <c r="B25" s="310"/>
      <c r="C25" s="333"/>
      <c r="D25" s="334"/>
      <c r="E25" s="333"/>
      <c r="F25" s="334"/>
      <c r="G25" s="333"/>
      <c r="H25" s="334"/>
      <c r="I25" s="326"/>
      <c r="J25" s="334"/>
      <c r="K25" s="326"/>
      <c r="L25" s="334"/>
      <c r="M25" s="326"/>
      <c r="N25" s="334"/>
      <c r="O25" s="326"/>
      <c r="P25" s="334"/>
      <c r="Q25" s="326"/>
      <c r="R25" s="334"/>
      <c r="S25" s="326"/>
      <c r="T25" s="334"/>
      <c r="U25" s="326"/>
      <c r="V25" s="334"/>
      <c r="W25" s="326"/>
      <c r="X25" s="334"/>
      <c r="Y25" s="326"/>
      <c r="Z25" s="334"/>
    </row>
    <row r="26" spans="1:26" s="316" customFormat="1" ht="15.75" x14ac:dyDescent="0.25">
      <c r="A26" s="321" t="s">
        <v>98</v>
      </c>
      <c r="B26" s="310"/>
      <c r="C26" s="333">
        <f>C93</f>
        <v>286</v>
      </c>
      <c r="D26" s="334"/>
      <c r="E26" s="333">
        <f>E93</f>
        <v>0</v>
      </c>
      <c r="F26" s="334"/>
      <c r="G26" s="333">
        <f>G93</f>
        <v>286</v>
      </c>
      <c r="H26" s="334"/>
      <c r="I26" s="326">
        <f>I93-C93</f>
        <v>293</v>
      </c>
      <c r="J26" s="334"/>
      <c r="K26" s="326">
        <f>K93-E93</f>
        <v>0</v>
      </c>
      <c r="L26" s="334"/>
      <c r="M26" s="326">
        <f>M93-G93</f>
        <v>293</v>
      </c>
      <c r="N26" s="334"/>
      <c r="O26" s="326">
        <f>O93-I93</f>
        <v>316</v>
      </c>
      <c r="P26" s="334"/>
      <c r="Q26" s="326">
        <f>Q93-K93</f>
        <v>0</v>
      </c>
      <c r="R26" s="334"/>
      <c r="S26" s="326">
        <f>S93-M93</f>
        <v>316</v>
      </c>
      <c r="T26" s="334"/>
      <c r="U26" s="326">
        <f>U93-O93</f>
        <v>387</v>
      </c>
      <c r="V26" s="334"/>
      <c r="W26" s="326">
        <f>W93-Q93</f>
        <v>0</v>
      </c>
      <c r="X26" s="334"/>
      <c r="Y26" s="326">
        <f>Y93-S93</f>
        <v>387</v>
      </c>
      <c r="Z26" s="334"/>
    </row>
    <row r="27" spans="1:26" s="316" customFormat="1" ht="3.6" customHeight="1" x14ac:dyDescent="0.25">
      <c r="A27" s="321"/>
      <c r="B27" s="310"/>
      <c r="C27" s="333"/>
      <c r="D27" s="334"/>
      <c r="E27" s="333"/>
      <c r="F27" s="334"/>
      <c r="G27" s="333"/>
      <c r="H27" s="334"/>
      <c r="I27" s="326"/>
      <c r="J27" s="334"/>
      <c r="K27" s="326"/>
      <c r="L27" s="334"/>
      <c r="M27" s="326"/>
      <c r="N27" s="334"/>
      <c r="O27" s="326"/>
      <c r="P27" s="334"/>
      <c r="Q27" s="326"/>
      <c r="R27" s="334"/>
      <c r="S27" s="326"/>
      <c r="T27" s="334"/>
      <c r="U27" s="326"/>
      <c r="V27" s="334"/>
      <c r="W27" s="326"/>
      <c r="X27" s="334"/>
      <c r="Y27" s="326"/>
      <c r="Z27" s="334"/>
    </row>
    <row r="28" spans="1:26" s="316" customFormat="1" ht="15.75" x14ac:dyDescent="0.25">
      <c r="A28" s="321" t="s">
        <v>126</v>
      </c>
      <c r="B28" s="310"/>
      <c r="C28" s="333">
        <f>C95</f>
        <v>180</v>
      </c>
      <c r="D28" s="334"/>
      <c r="E28" s="333">
        <f>E95</f>
        <v>0</v>
      </c>
      <c r="F28" s="334"/>
      <c r="G28" s="333">
        <f>G95</f>
        <v>180</v>
      </c>
      <c r="H28" s="334"/>
      <c r="I28" s="326">
        <f>I95-C95</f>
        <v>262</v>
      </c>
      <c r="J28" s="334"/>
      <c r="K28" s="326">
        <f>K95-E95</f>
        <v>0</v>
      </c>
      <c r="L28" s="334"/>
      <c r="M28" s="326">
        <f>M95-G95</f>
        <v>262</v>
      </c>
      <c r="N28" s="334"/>
      <c r="O28" s="326">
        <f>O95-I95</f>
        <v>245</v>
      </c>
      <c r="P28" s="334"/>
      <c r="Q28" s="326">
        <f>Q95-K95</f>
        <v>0</v>
      </c>
      <c r="R28" s="334"/>
      <c r="S28" s="326">
        <f>S95-M95</f>
        <v>245</v>
      </c>
      <c r="T28" s="334"/>
      <c r="U28" s="326">
        <f>U95-O95</f>
        <v>157</v>
      </c>
      <c r="V28" s="334"/>
      <c r="W28" s="326">
        <f>W95-Q95</f>
        <v>0</v>
      </c>
      <c r="X28" s="334"/>
      <c r="Y28" s="326">
        <f>Y95-S95</f>
        <v>157</v>
      </c>
      <c r="Z28" s="334"/>
    </row>
    <row r="29" spans="1:26" s="316" customFormat="1" ht="3.6" customHeight="1" x14ac:dyDescent="0.25">
      <c r="A29" s="321"/>
      <c r="B29" s="310"/>
      <c r="C29" s="333"/>
      <c r="D29" s="334"/>
      <c r="E29" s="333"/>
      <c r="F29" s="334"/>
      <c r="G29" s="333"/>
      <c r="H29" s="334"/>
      <c r="I29" s="326"/>
      <c r="J29" s="334"/>
      <c r="K29" s="326"/>
      <c r="L29" s="334"/>
      <c r="M29" s="326"/>
      <c r="N29" s="334"/>
      <c r="O29" s="326"/>
      <c r="P29" s="334"/>
      <c r="Q29" s="326"/>
      <c r="R29" s="334"/>
      <c r="S29" s="326"/>
      <c r="T29" s="334"/>
      <c r="U29" s="326"/>
      <c r="V29" s="334"/>
      <c r="W29" s="326"/>
      <c r="X29" s="334"/>
      <c r="Y29" s="326"/>
      <c r="Z29" s="334"/>
    </row>
    <row r="30" spans="1:26" ht="15.75" x14ac:dyDescent="0.25">
      <c r="A30" s="321" t="s">
        <v>99</v>
      </c>
      <c r="B30" s="305"/>
      <c r="C30" s="333">
        <f>C97</f>
        <v>324</v>
      </c>
      <c r="D30" s="334"/>
      <c r="E30" s="333">
        <f>E97</f>
        <v>0</v>
      </c>
      <c r="F30" s="334"/>
      <c r="G30" s="333">
        <f>G97</f>
        <v>324</v>
      </c>
      <c r="H30" s="334"/>
      <c r="I30" s="326">
        <f>I97-C97</f>
        <v>294</v>
      </c>
      <c r="J30" s="334"/>
      <c r="K30" s="326">
        <f>K97-E97</f>
        <v>0</v>
      </c>
      <c r="L30" s="334"/>
      <c r="M30" s="326">
        <f>M97-G97</f>
        <v>294</v>
      </c>
      <c r="N30" s="334"/>
      <c r="O30" s="326">
        <f>O97-I97</f>
        <v>265</v>
      </c>
      <c r="P30" s="334"/>
      <c r="Q30" s="326">
        <f>Q97-K97</f>
        <v>0</v>
      </c>
      <c r="R30" s="334"/>
      <c r="S30" s="326">
        <f>S97-M97</f>
        <v>265</v>
      </c>
      <c r="T30" s="334"/>
      <c r="U30" s="326">
        <f>U97-O97</f>
        <v>288</v>
      </c>
      <c r="V30" s="334"/>
      <c r="W30" s="326">
        <f>W97-Q97</f>
        <v>0</v>
      </c>
      <c r="X30" s="334"/>
      <c r="Y30" s="326">
        <f>Y97-S97</f>
        <v>288</v>
      </c>
      <c r="Z30" s="334"/>
    </row>
    <row r="31" spans="1:26" ht="5.0999999999999996" customHeight="1" x14ac:dyDescent="0.25">
      <c r="A31" s="335"/>
      <c r="B31" s="305"/>
      <c r="C31" s="333"/>
      <c r="D31" s="334"/>
      <c r="E31" s="333"/>
      <c r="F31" s="334"/>
      <c r="G31" s="333"/>
      <c r="H31" s="334"/>
      <c r="I31" s="333"/>
      <c r="J31" s="334"/>
      <c r="K31" s="333"/>
      <c r="L31" s="334"/>
      <c r="M31" s="333"/>
      <c r="N31" s="334"/>
      <c r="O31" s="333"/>
      <c r="P31" s="334"/>
      <c r="Q31" s="333"/>
      <c r="R31" s="334"/>
      <c r="S31" s="333"/>
      <c r="T31" s="334"/>
      <c r="U31" s="333"/>
      <c r="V31" s="334"/>
      <c r="W31" s="333"/>
      <c r="X31" s="334"/>
      <c r="Y31" s="333"/>
      <c r="Z31" s="334"/>
    </row>
    <row r="32" spans="1:26" ht="15.75" x14ac:dyDescent="0.25">
      <c r="A32" s="328" t="s">
        <v>201</v>
      </c>
      <c r="B32" s="305"/>
      <c r="C32" s="336">
        <f>SUM(C22:C30)</f>
        <v>1306</v>
      </c>
      <c r="D32" s="334"/>
      <c r="E32" s="336">
        <f>SUM(E22:E30)</f>
        <v>-145</v>
      </c>
      <c r="F32" s="334"/>
      <c r="G32" s="336">
        <f>SUM(G22:G30)</f>
        <v>1161</v>
      </c>
      <c r="H32" s="334"/>
      <c r="I32" s="336">
        <f>I99-C99</f>
        <v>1400</v>
      </c>
      <c r="J32" s="334"/>
      <c r="K32" s="336">
        <f>K99-E99</f>
        <v>-107</v>
      </c>
      <c r="L32" s="334"/>
      <c r="M32" s="336">
        <f>M99-G99</f>
        <v>1293</v>
      </c>
      <c r="N32" s="334"/>
      <c r="O32" s="336">
        <f>O99-I99</f>
        <v>1369</v>
      </c>
      <c r="P32" s="334"/>
      <c r="Q32" s="336">
        <f>Q99-K99</f>
        <v>-125</v>
      </c>
      <c r="R32" s="334"/>
      <c r="S32" s="336">
        <f>S99-M99</f>
        <v>1244</v>
      </c>
      <c r="T32" s="334"/>
      <c r="U32" s="336">
        <f>U99-O99</f>
        <v>1411</v>
      </c>
      <c r="V32" s="334"/>
      <c r="W32" s="336">
        <f>W99-Q99</f>
        <v>-131</v>
      </c>
      <c r="X32" s="334"/>
      <c r="Y32" s="336">
        <f>Y99-S99</f>
        <v>1280</v>
      </c>
      <c r="Z32" s="334"/>
    </row>
    <row r="33" spans="1:26" ht="6" customHeight="1" x14ac:dyDescent="0.25">
      <c r="A33" s="328"/>
      <c r="B33" s="305"/>
      <c r="C33" s="333"/>
      <c r="D33" s="334"/>
      <c r="E33" s="333"/>
      <c r="F33" s="334"/>
      <c r="G33" s="333"/>
      <c r="H33" s="334"/>
      <c r="I33" s="333"/>
      <c r="J33" s="334"/>
      <c r="K33" s="333"/>
      <c r="L33" s="334"/>
      <c r="M33" s="333"/>
      <c r="N33" s="334"/>
      <c r="O33" s="333"/>
      <c r="P33" s="334"/>
      <c r="Q33" s="333"/>
      <c r="R33" s="334"/>
      <c r="S33" s="333"/>
      <c r="T33" s="334"/>
      <c r="U33" s="333"/>
      <c r="V33" s="334"/>
      <c r="W33" s="333"/>
      <c r="X33" s="334"/>
      <c r="Y33" s="333"/>
      <c r="Z33" s="334"/>
    </row>
    <row r="34" spans="1:26" ht="15.75" x14ac:dyDescent="0.25">
      <c r="A34" s="335" t="s">
        <v>202</v>
      </c>
      <c r="B34" s="305"/>
      <c r="C34" s="333">
        <f>C101</f>
        <v>50</v>
      </c>
      <c r="D34" s="334"/>
      <c r="E34" s="333">
        <f>E101</f>
        <v>-64</v>
      </c>
      <c r="F34" s="334"/>
      <c r="G34" s="333">
        <f>G101</f>
        <v>-14</v>
      </c>
      <c r="H34" s="334"/>
      <c r="I34" s="326">
        <f>I101-C101</f>
        <v>45</v>
      </c>
      <c r="J34" s="334"/>
      <c r="K34" s="326">
        <f>K101-E101</f>
        <v>-65</v>
      </c>
      <c r="L34" s="334"/>
      <c r="M34" s="326">
        <f>M101-G101</f>
        <v>-20</v>
      </c>
      <c r="N34" s="334"/>
      <c r="O34" s="326">
        <f>O101-I101</f>
        <v>-15</v>
      </c>
      <c r="P34" s="334"/>
      <c r="Q34" s="326">
        <f>Q101-K101</f>
        <v>-37</v>
      </c>
      <c r="R34" s="334"/>
      <c r="S34" s="326">
        <f>S101-M101</f>
        <v>-52</v>
      </c>
      <c r="T34" s="334"/>
      <c r="U34" s="326">
        <f>U101-O101</f>
        <v>-130</v>
      </c>
      <c r="V34" s="334"/>
      <c r="W34" s="326">
        <f>W101-Q101</f>
        <v>-50</v>
      </c>
      <c r="X34" s="334"/>
      <c r="Y34" s="326">
        <f>Y101-S101</f>
        <v>-180</v>
      </c>
      <c r="Z34" s="334"/>
    </row>
    <row r="35" spans="1:26" ht="6.6" customHeight="1" x14ac:dyDescent="0.25">
      <c r="A35" s="335"/>
      <c r="B35" s="305"/>
      <c r="C35" s="333"/>
      <c r="D35" s="334"/>
      <c r="E35" s="333"/>
      <c r="F35" s="334"/>
      <c r="G35" s="333"/>
      <c r="H35" s="334"/>
      <c r="I35" s="333"/>
      <c r="J35" s="334"/>
      <c r="K35" s="333"/>
      <c r="L35" s="334"/>
      <c r="M35" s="333"/>
      <c r="N35" s="334"/>
      <c r="O35" s="333"/>
      <c r="P35" s="334"/>
      <c r="Q35" s="333"/>
      <c r="R35" s="334"/>
      <c r="S35" s="333"/>
      <c r="T35" s="334"/>
      <c r="U35" s="333"/>
      <c r="V35" s="334"/>
      <c r="W35" s="333"/>
      <c r="X35" s="334"/>
      <c r="Y35" s="333"/>
      <c r="Z35" s="334"/>
    </row>
    <row r="36" spans="1:26" ht="15.75" x14ac:dyDescent="0.25">
      <c r="A36" s="328" t="s">
        <v>203</v>
      </c>
      <c r="B36" s="305"/>
      <c r="C36" s="337">
        <f>SUM(C32:C34)</f>
        <v>1356</v>
      </c>
      <c r="D36" s="338"/>
      <c r="E36" s="337">
        <f>SUM(E32:E34)</f>
        <v>-209</v>
      </c>
      <c r="F36" s="338"/>
      <c r="G36" s="337">
        <f>SUM(G32:G34)</f>
        <v>1147</v>
      </c>
      <c r="H36" s="334"/>
      <c r="I36" s="337">
        <f>SUM(I32:I34)</f>
        <v>1445</v>
      </c>
      <c r="J36" s="338"/>
      <c r="K36" s="337">
        <f>SUM(K32:K34)</f>
        <v>-172</v>
      </c>
      <c r="L36" s="338"/>
      <c r="M36" s="337">
        <f>SUM(M32:M34)</f>
        <v>1273</v>
      </c>
      <c r="N36" s="334"/>
      <c r="O36" s="337">
        <f>SUM(O32:O34)</f>
        <v>1354</v>
      </c>
      <c r="P36" s="338"/>
      <c r="Q36" s="337">
        <f>SUM(Q32:Q34)</f>
        <v>-162</v>
      </c>
      <c r="R36" s="338"/>
      <c r="S36" s="337">
        <f>SUM(S32:S34)</f>
        <v>1192</v>
      </c>
      <c r="T36" s="334"/>
      <c r="U36" s="337">
        <f>SUM(U32:U34)</f>
        <v>1281</v>
      </c>
      <c r="V36" s="338"/>
      <c r="W36" s="337">
        <f>SUM(W32:W34)</f>
        <v>-181</v>
      </c>
      <c r="X36" s="338"/>
      <c r="Y36" s="337">
        <f>SUM(Y32:Y34)</f>
        <v>1100</v>
      </c>
      <c r="Z36" s="334"/>
    </row>
    <row r="37" spans="1:26" ht="5.0999999999999996" customHeight="1" x14ac:dyDescent="0.25">
      <c r="A37" s="335"/>
      <c r="B37" s="310"/>
      <c r="C37" s="339"/>
      <c r="D37" s="338"/>
      <c r="E37" s="339"/>
      <c r="F37" s="338"/>
      <c r="G37" s="339"/>
      <c r="H37" s="338"/>
      <c r="I37" s="339"/>
      <c r="J37" s="338"/>
      <c r="K37" s="339"/>
      <c r="L37" s="338"/>
      <c r="M37" s="339"/>
      <c r="N37" s="338"/>
      <c r="O37" s="339"/>
      <c r="P37" s="338"/>
      <c r="Q37" s="339"/>
      <c r="R37" s="338"/>
      <c r="S37" s="339"/>
      <c r="T37" s="338"/>
      <c r="U37" s="339"/>
      <c r="V37" s="338"/>
      <c r="W37" s="339"/>
      <c r="X37" s="338"/>
      <c r="Y37" s="339"/>
      <c r="Z37" s="338"/>
    </row>
    <row r="38" spans="1:26" ht="15.75" x14ac:dyDescent="0.25">
      <c r="A38" s="321" t="s">
        <v>4</v>
      </c>
      <c r="B38" s="310"/>
      <c r="C38" s="333">
        <f>C105</f>
        <v>-93</v>
      </c>
      <c r="D38" s="340"/>
      <c r="E38" s="333">
        <f>E105</f>
        <v>0</v>
      </c>
      <c r="F38" s="340"/>
      <c r="G38" s="333">
        <f>SUM(C38,E38)</f>
        <v>-93</v>
      </c>
      <c r="H38" s="340"/>
      <c r="I38" s="333">
        <f>I105-C105</f>
        <v>-104</v>
      </c>
      <c r="J38" s="340"/>
      <c r="K38" s="333">
        <f>K105-E105</f>
        <v>0</v>
      </c>
      <c r="L38" s="340"/>
      <c r="M38" s="333">
        <f>M105-G105</f>
        <v>-104</v>
      </c>
      <c r="N38" s="341"/>
      <c r="O38" s="333">
        <f>O105-I105</f>
        <v>-104</v>
      </c>
      <c r="P38" s="340"/>
      <c r="Q38" s="333">
        <f>Q105-K105</f>
        <v>0</v>
      </c>
      <c r="R38" s="340"/>
      <c r="S38" s="333">
        <f>S105-M105</f>
        <v>-104</v>
      </c>
      <c r="T38" s="341"/>
      <c r="U38" s="333">
        <f>U105-O105</f>
        <v>-142</v>
      </c>
      <c r="V38" s="340"/>
      <c r="W38" s="333">
        <f>W105-Q105</f>
        <v>0</v>
      </c>
      <c r="X38" s="340"/>
      <c r="Y38" s="333">
        <f>Y105-S105</f>
        <v>-142</v>
      </c>
      <c r="Z38" s="341"/>
    </row>
    <row r="39" spans="1:26" ht="5.0999999999999996" customHeight="1" x14ac:dyDescent="0.25">
      <c r="A39" s="321"/>
      <c r="B39" s="310"/>
      <c r="C39" s="333"/>
      <c r="D39" s="340"/>
      <c r="E39" s="333"/>
      <c r="F39" s="340"/>
      <c r="G39" s="333"/>
      <c r="H39" s="340"/>
      <c r="I39" s="333"/>
      <c r="J39" s="340"/>
      <c r="K39" s="333"/>
      <c r="L39" s="340"/>
      <c r="M39" s="333"/>
      <c r="N39" s="341"/>
      <c r="O39" s="333"/>
      <c r="P39" s="340"/>
      <c r="Q39" s="333"/>
      <c r="R39" s="340"/>
      <c r="S39" s="333"/>
      <c r="T39" s="341"/>
      <c r="U39" s="333"/>
      <c r="V39" s="340"/>
      <c r="W39" s="333"/>
      <c r="X39" s="340"/>
      <c r="Y39" s="333"/>
      <c r="Z39" s="341"/>
    </row>
    <row r="40" spans="1:26" ht="15.75" x14ac:dyDescent="0.25">
      <c r="A40" s="301" t="s">
        <v>204</v>
      </c>
      <c r="B40" s="310"/>
      <c r="C40" s="342">
        <f>C107</f>
        <v>3</v>
      </c>
      <c r="D40" s="341"/>
      <c r="E40" s="342">
        <f>E107</f>
        <v>0</v>
      </c>
      <c r="F40" s="341"/>
      <c r="G40" s="342">
        <f>SUM(C40,E40)</f>
        <v>3</v>
      </c>
      <c r="H40" s="341"/>
      <c r="I40" s="342">
        <f>I107-C107</f>
        <v>2</v>
      </c>
      <c r="J40" s="341"/>
      <c r="K40" s="342">
        <f>K107-E107</f>
        <v>0</v>
      </c>
      <c r="L40" s="341"/>
      <c r="M40" s="342">
        <f>M107-G107</f>
        <v>2</v>
      </c>
      <c r="N40" s="340"/>
      <c r="O40" s="342">
        <f>O107-I107</f>
        <v>1</v>
      </c>
      <c r="P40" s="341"/>
      <c r="Q40" s="342">
        <f>Q107-K107</f>
        <v>0</v>
      </c>
      <c r="R40" s="341"/>
      <c r="S40" s="342">
        <f>S107-M107</f>
        <v>1</v>
      </c>
      <c r="T40" s="340"/>
      <c r="U40" s="342">
        <f>U107-O107</f>
        <v>24</v>
      </c>
      <c r="V40" s="341"/>
      <c r="W40" s="342">
        <f>W107-Q107</f>
        <v>0</v>
      </c>
      <c r="X40" s="341"/>
      <c r="Y40" s="342">
        <f>Y107-S107</f>
        <v>24</v>
      </c>
      <c r="Z40" s="340"/>
    </row>
    <row r="41" spans="1:26" ht="5.0999999999999996" customHeight="1" x14ac:dyDescent="0.25">
      <c r="A41" s="301"/>
      <c r="B41" s="310"/>
      <c r="C41" s="333"/>
      <c r="D41" s="341"/>
      <c r="E41" s="333"/>
      <c r="F41" s="341"/>
      <c r="G41" s="333"/>
      <c r="H41" s="341"/>
      <c r="I41" s="333"/>
      <c r="J41" s="341"/>
      <c r="K41" s="333"/>
      <c r="L41" s="341"/>
      <c r="M41" s="333"/>
      <c r="N41" s="340"/>
      <c r="O41" s="333"/>
      <c r="P41" s="341"/>
      <c r="Q41" s="333"/>
      <c r="R41" s="341"/>
      <c r="S41" s="333"/>
      <c r="T41" s="340"/>
      <c r="U41" s="333"/>
      <c r="V41" s="341"/>
      <c r="W41" s="333"/>
      <c r="X41" s="341"/>
      <c r="Y41" s="333"/>
      <c r="Z41" s="340"/>
    </row>
    <row r="42" spans="1:26" ht="15.75" x14ac:dyDescent="0.25">
      <c r="A42" s="301" t="s">
        <v>128</v>
      </c>
      <c r="B42" s="310"/>
      <c r="C42" s="333">
        <f>C36+C38+C40</f>
        <v>1266</v>
      </c>
      <c r="D42" s="341"/>
      <c r="E42" s="333">
        <f>E36+E38+E40</f>
        <v>-209</v>
      </c>
      <c r="F42" s="341"/>
      <c r="G42" s="333">
        <f>G36+G38+G40</f>
        <v>1057</v>
      </c>
      <c r="H42" s="341"/>
      <c r="I42" s="333">
        <f>I109-C109</f>
        <v>1343</v>
      </c>
      <c r="J42" s="341"/>
      <c r="K42" s="333">
        <f>K109-E109</f>
        <v>-172</v>
      </c>
      <c r="L42" s="341"/>
      <c r="M42" s="333">
        <f>M109-G109</f>
        <v>1171</v>
      </c>
      <c r="N42" s="341"/>
      <c r="O42" s="333">
        <f>O109-I109</f>
        <v>1251</v>
      </c>
      <c r="P42" s="341"/>
      <c r="Q42" s="333">
        <f>Q109-K109</f>
        <v>-162</v>
      </c>
      <c r="R42" s="341"/>
      <c r="S42" s="333">
        <f>S109-M109</f>
        <v>1089</v>
      </c>
      <c r="T42" s="341"/>
      <c r="U42" s="333">
        <f>U109-O109</f>
        <v>1163</v>
      </c>
      <c r="V42" s="341"/>
      <c r="W42" s="333">
        <f>W109-Q109</f>
        <v>-181</v>
      </c>
      <c r="X42" s="341"/>
      <c r="Y42" s="333">
        <f>Y109-S109</f>
        <v>982</v>
      </c>
      <c r="Z42" s="341"/>
    </row>
    <row r="43" spans="1:26" ht="5.0999999999999996" customHeight="1" x14ac:dyDescent="0.25">
      <c r="A43" s="301"/>
      <c r="B43" s="310"/>
      <c r="C43" s="333"/>
      <c r="D43" s="341"/>
      <c r="E43" s="333"/>
      <c r="F43" s="341"/>
      <c r="G43" s="333"/>
      <c r="H43" s="341"/>
      <c r="I43" s="333"/>
      <c r="J43" s="341"/>
      <c r="K43" s="333"/>
      <c r="L43" s="341"/>
      <c r="M43" s="333"/>
      <c r="N43" s="341"/>
      <c r="O43" s="333"/>
      <c r="P43" s="341"/>
      <c r="Q43" s="333"/>
      <c r="R43" s="341"/>
      <c r="S43" s="333"/>
      <c r="T43" s="341"/>
      <c r="U43" s="333"/>
      <c r="V43" s="341"/>
      <c r="W43" s="333"/>
      <c r="X43" s="341"/>
      <c r="Y43" s="333"/>
      <c r="Z43" s="341"/>
    </row>
    <row r="44" spans="1:26" ht="15.75" x14ac:dyDescent="0.25">
      <c r="A44" s="301" t="s">
        <v>205</v>
      </c>
      <c r="B44" s="310"/>
      <c r="C44" s="342">
        <f>C111</f>
        <v>-388</v>
      </c>
      <c r="D44" s="341"/>
      <c r="E44" s="342">
        <f>E111</f>
        <v>69</v>
      </c>
      <c r="F44" s="341"/>
      <c r="G44" s="342">
        <f>SUM(C44,E44)</f>
        <v>-319</v>
      </c>
      <c r="H44" s="341"/>
      <c r="I44" s="342">
        <f>I111-C111</f>
        <v>-414</v>
      </c>
      <c r="J44" s="341"/>
      <c r="K44" s="342">
        <f>K111-E111</f>
        <v>58</v>
      </c>
      <c r="L44" s="341"/>
      <c r="M44" s="342">
        <f>M111-G111</f>
        <v>-356</v>
      </c>
      <c r="N44" s="341"/>
      <c r="O44" s="342">
        <f>O111-I111</f>
        <v>-386</v>
      </c>
      <c r="P44" s="341"/>
      <c r="Q44" s="342">
        <f>Q111-K111</f>
        <v>53</v>
      </c>
      <c r="R44" s="341"/>
      <c r="S44" s="342">
        <f>S111-M111</f>
        <v>-333</v>
      </c>
      <c r="T44" s="341"/>
      <c r="U44" s="342">
        <f>U111-O111</f>
        <v>-230</v>
      </c>
      <c r="V44" s="341"/>
      <c r="W44" s="342">
        <f>W111-Q111</f>
        <v>65</v>
      </c>
      <c r="X44" s="341"/>
      <c r="Y44" s="342">
        <f>Y111-S111</f>
        <v>-165</v>
      </c>
      <c r="Z44" s="341"/>
    </row>
    <row r="45" spans="1:26" ht="5.0999999999999996" customHeight="1" x14ac:dyDescent="0.25">
      <c r="A45" s="301"/>
      <c r="B45" s="310"/>
      <c r="C45" s="333"/>
      <c r="D45" s="341"/>
      <c r="E45" s="333"/>
      <c r="F45" s="341"/>
      <c r="G45" s="333"/>
      <c r="H45" s="341"/>
      <c r="I45" s="333"/>
      <c r="J45" s="341"/>
      <c r="K45" s="333"/>
      <c r="L45" s="341"/>
      <c r="M45" s="333"/>
      <c r="N45" s="341"/>
      <c r="O45" s="333"/>
      <c r="P45" s="341"/>
      <c r="Q45" s="333"/>
      <c r="R45" s="341"/>
      <c r="S45" s="333"/>
      <c r="T45" s="341"/>
      <c r="U45" s="333"/>
      <c r="V45" s="341"/>
      <c r="W45" s="333"/>
      <c r="X45" s="341"/>
      <c r="Y45" s="333"/>
      <c r="Z45" s="341"/>
    </row>
    <row r="46" spans="1:26" ht="15.75" x14ac:dyDescent="0.25">
      <c r="A46" s="301" t="s">
        <v>206</v>
      </c>
      <c r="B46" s="310"/>
      <c r="C46" s="333">
        <f>C42+C44</f>
        <v>878</v>
      </c>
      <c r="D46" s="341"/>
      <c r="E46" s="333">
        <f>E42+E44</f>
        <v>-140</v>
      </c>
      <c r="F46" s="341"/>
      <c r="G46" s="333">
        <f>G42+G44</f>
        <v>738</v>
      </c>
      <c r="H46" s="341"/>
      <c r="I46" s="333">
        <f>I113-C113</f>
        <v>929</v>
      </c>
      <c r="J46" s="341"/>
      <c r="K46" s="333">
        <f>K113-E113</f>
        <v>-114</v>
      </c>
      <c r="L46" s="341"/>
      <c r="M46" s="333">
        <f>M113-G113</f>
        <v>815</v>
      </c>
      <c r="N46" s="341"/>
      <c r="O46" s="333">
        <f>O113-I113</f>
        <v>865</v>
      </c>
      <c r="P46" s="341"/>
      <c r="Q46" s="333">
        <f>Q113-K113</f>
        <v>-109</v>
      </c>
      <c r="R46" s="341"/>
      <c r="S46" s="333">
        <f>S113-M113</f>
        <v>756</v>
      </c>
      <c r="T46" s="341"/>
      <c r="U46" s="333">
        <f>U113-O113</f>
        <v>933</v>
      </c>
      <c r="V46" s="341"/>
      <c r="W46" s="333">
        <f>W113-Q113</f>
        <v>-116</v>
      </c>
      <c r="X46" s="341"/>
      <c r="Y46" s="333">
        <f>Y113-S113</f>
        <v>817</v>
      </c>
      <c r="Z46" s="341"/>
    </row>
    <row r="47" spans="1:26" ht="5.0999999999999996" customHeight="1" x14ac:dyDescent="0.25">
      <c r="A47" s="301"/>
      <c r="B47" s="310"/>
      <c r="C47" s="333"/>
      <c r="D47" s="341"/>
      <c r="E47" s="333"/>
      <c r="F47" s="341"/>
      <c r="G47" s="333"/>
      <c r="H47" s="341"/>
      <c r="I47" s="333"/>
      <c r="J47" s="341"/>
      <c r="K47" s="333"/>
      <c r="L47" s="341"/>
      <c r="M47" s="333"/>
      <c r="N47" s="341"/>
      <c r="O47" s="333"/>
      <c r="P47" s="341"/>
      <c r="Q47" s="333"/>
      <c r="R47" s="341"/>
      <c r="S47" s="333"/>
      <c r="T47" s="341"/>
      <c r="U47" s="333"/>
      <c r="V47" s="341"/>
      <c r="W47" s="333"/>
      <c r="X47" s="341"/>
      <c r="Y47" s="333"/>
      <c r="Z47" s="341"/>
    </row>
    <row r="48" spans="1:26" ht="15.75" x14ac:dyDescent="0.25">
      <c r="A48" s="301" t="s">
        <v>158</v>
      </c>
      <c r="B48" s="310"/>
      <c r="C48" s="342">
        <f>C115</f>
        <v>0</v>
      </c>
      <c r="D48" s="341"/>
      <c r="E48" s="343">
        <f>E115</f>
        <v>140</v>
      </c>
      <c r="F48" s="341"/>
      <c r="G48" s="342">
        <f>SUM(C48,E48)</f>
        <v>140</v>
      </c>
      <c r="H48" s="341"/>
      <c r="I48" s="342">
        <f>I115-C115</f>
        <v>0</v>
      </c>
      <c r="J48" s="341"/>
      <c r="K48" s="342">
        <f>K115-E115</f>
        <v>114</v>
      </c>
      <c r="L48" s="341"/>
      <c r="M48" s="342">
        <f>M115-G115</f>
        <v>114</v>
      </c>
      <c r="N48" s="341"/>
      <c r="O48" s="342">
        <f>O115-I115</f>
        <v>0</v>
      </c>
      <c r="P48" s="341"/>
      <c r="Q48" s="342">
        <f>Q115-K115</f>
        <v>109</v>
      </c>
      <c r="R48" s="341"/>
      <c r="S48" s="342">
        <f>S115-M115</f>
        <v>109</v>
      </c>
      <c r="T48" s="341"/>
      <c r="U48" s="342">
        <f>U115-O115</f>
        <v>0</v>
      </c>
      <c r="V48" s="341"/>
      <c r="W48" s="342">
        <f>W115-Q115</f>
        <v>116</v>
      </c>
      <c r="X48" s="341"/>
      <c r="Y48" s="342">
        <f>Y115-S115</f>
        <v>116</v>
      </c>
      <c r="Z48" s="341"/>
    </row>
    <row r="49" spans="1:26" ht="5.0999999999999996" customHeight="1" x14ac:dyDescent="0.25">
      <c r="A49" s="301"/>
      <c r="B49" s="310"/>
      <c r="C49" s="333"/>
      <c r="D49" s="341"/>
      <c r="E49" s="333"/>
      <c r="F49" s="341"/>
      <c r="G49" s="333"/>
      <c r="H49" s="341"/>
      <c r="I49" s="333"/>
      <c r="J49" s="341"/>
      <c r="K49" s="333"/>
      <c r="L49" s="341"/>
      <c r="M49" s="333"/>
      <c r="N49" s="341"/>
      <c r="O49" s="333"/>
      <c r="P49" s="341"/>
      <c r="Q49" s="333"/>
      <c r="R49" s="341"/>
      <c r="S49" s="333"/>
      <c r="T49" s="341"/>
      <c r="U49" s="333"/>
      <c r="V49" s="341"/>
      <c r="W49" s="333"/>
      <c r="X49" s="341"/>
      <c r="Y49" s="333"/>
      <c r="Z49" s="341"/>
    </row>
    <row r="50" spans="1:26" ht="16.5" thickBot="1" x14ac:dyDescent="0.3">
      <c r="A50" s="310" t="s">
        <v>57</v>
      </c>
      <c r="B50" s="310"/>
      <c r="C50" s="344">
        <f>C46+C48</f>
        <v>878</v>
      </c>
      <c r="D50" s="341"/>
      <c r="E50" s="344">
        <f>E46+E48</f>
        <v>0</v>
      </c>
      <c r="F50" s="341"/>
      <c r="G50" s="344">
        <f>G46+G48</f>
        <v>878</v>
      </c>
      <c r="H50" s="341"/>
      <c r="I50" s="344">
        <f>I117-C117</f>
        <v>929</v>
      </c>
      <c r="J50" s="341"/>
      <c r="K50" s="344">
        <f>K117-E117</f>
        <v>0</v>
      </c>
      <c r="L50" s="341"/>
      <c r="M50" s="344">
        <f>M117-G117</f>
        <v>929</v>
      </c>
      <c r="N50" s="341"/>
      <c r="O50" s="344">
        <f>O117-I117</f>
        <v>865</v>
      </c>
      <c r="P50" s="341"/>
      <c r="Q50" s="344">
        <f>Q117-K117</f>
        <v>0</v>
      </c>
      <c r="R50" s="341"/>
      <c r="S50" s="344">
        <f>S117-M117</f>
        <v>865</v>
      </c>
      <c r="T50" s="341"/>
      <c r="U50" s="344">
        <f>U117-O117</f>
        <v>933</v>
      </c>
      <c r="V50" s="341"/>
      <c r="W50" s="344">
        <f>W117-Q117</f>
        <v>0</v>
      </c>
      <c r="X50" s="341"/>
      <c r="Y50" s="344">
        <f>Y117-S117</f>
        <v>933</v>
      </c>
      <c r="Z50" s="341"/>
    </row>
    <row r="51" spans="1:26" ht="5.0999999999999996" customHeight="1" thickTop="1" x14ac:dyDescent="0.25">
      <c r="A51" s="310"/>
      <c r="B51" s="310"/>
      <c r="C51" s="345"/>
      <c r="D51" s="341"/>
      <c r="E51" s="345"/>
      <c r="F51" s="341"/>
      <c r="G51" s="345"/>
      <c r="H51" s="341"/>
      <c r="I51" s="345"/>
      <c r="J51" s="341"/>
      <c r="K51" s="345"/>
      <c r="L51" s="341"/>
      <c r="M51" s="345"/>
      <c r="N51" s="341"/>
      <c r="O51" s="345"/>
      <c r="P51" s="341"/>
      <c r="Q51" s="345"/>
      <c r="R51" s="341"/>
      <c r="S51" s="345"/>
      <c r="T51" s="341"/>
      <c r="U51" s="345"/>
      <c r="V51" s="341"/>
      <c r="W51" s="345"/>
      <c r="X51" s="341"/>
      <c r="Y51" s="345"/>
      <c r="Z51" s="341"/>
    </row>
    <row r="52" spans="1:26" ht="16.5" thickBot="1" x14ac:dyDescent="0.3">
      <c r="A52" s="346" t="s">
        <v>207</v>
      </c>
      <c r="B52" s="310"/>
      <c r="C52" s="347">
        <f>-C44/C42</f>
        <v>0.30647709320695105</v>
      </c>
      <c r="D52" s="341"/>
      <c r="E52" s="348"/>
      <c r="F52" s="341"/>
      <c r="G52" s="347">
        <f>-G44/G42</f>
        <v>0.30179754020813626</v>
      </c>
      <c r="H52" s="341"/>
      <c r="I52" s="347">
        <f>-I44/I42</f>
        <v>0.308265078183172</v>
      </c>
      <c r="J52" s="341"/>
      <c r="K52" s="348"/>
      <c r="L52" s="341"/>
      <c r="M52" s="347">
        <f>-M44/M42</f>
        <v>0.30401366353543979</v>
      </c>
      <c r="N52" s="341"/>
      <c r="O52" s="347">
        <f>-O44/O42</f>
        <v>0.30855315747402079</v>
      </c>
      <c r="P52" s="341"/>
      <c r="Q52" s="348"/>
      <c r="R52" s="341"/>
      <c r="S52" s="347">
        <f>-S44/S42</f>
        <v>0.30578512396694213</v>
      </c>
      <c r="T52" s="341"/>
      <c r="U52" s="347">
        <f>-U44/U42</f>
        <v>0.19776440240756663</v>
      </c>
      <c r="V52" s="341"/>
      <c r="W52" s="348"/>
      <c r="X52" s="341"/>
      <c r="Y52" s="347">
        <f>-Y44/Y42</f>
        <v>0.16802443991853361</v>
      </c>
      <c r="Z52" s="341"/>
    </row>
    <row r="53" spans="1:26" ht="5.0999999999999996" customHeight="1" thickTop="1" x14ac:dyDescent="0.25">
      <c r="A53" s="310"/>
      <c r="B53" s="310"/>
      <c r="C53" s="345"/>
      <c r="D53" s="341"/>
      <c r="E53" s="345"/>
      <c r="F53" s="341"/>
      <c r="G53" s="345"/>
      <c r="H53" s="341"/>
      <c r="I53" s="345"/>
      <c r="J53" s="341"/>
      <c r="K53" s="345"/>
      <c r="L53" s="341"/>
      <c r="M53" s="345"/>
      <c r="N53" s="341"/>
      <c r="O53" s="345"/>
      <c r="P53" s="341"/>
      <c r="Q53" s="345"/>
      <c r="R53" s="341"/>
      <c r="S53" s="345"/>
      <c r="T53" s="341"/>
      <c r="U53" s="345"/>
      <c r="V53" s="341"/>
      <c r="W53" s="345"/>
      <c r="X53" s="341"/>
      <c r="Y53" s="345"/>
      <c r="Z53" s="341"/>
    </row>
    <row r="54" spans="1:26" ht="15.75" x14ac:dyDescent="0.25">
      <c r="A54" s="310" t="s">
        <v>127</v>
      </c>
      <c r="B54" s="310"/>
      <c r="C54" s="345"/>
      <c r="D54" s="341"/>
      <c r="E54" s="345"/>
      <c r="F54" s="341"/>
      <c r="G54" s="345"/>
      <c r="H54" s="341"/>
      <c r="I54" s="345"/>
      <c r="J54" s="341"/>
      <c r="K54" s="345"/>
      <c r="L54" s="341"/>
      <c r="M54" s="345"/>
      <c r="N54" s="341"/>
      <c r="O54" s="345"/>
      <c r="P54" s="341"/>
      <c r="Q54" s="345"/>
      <c r="R54" s="341"/>
      <c r="S54" s="345"/>
      <c r="T54" s="341"/>
      <c r="U54" s="345"/>
      <c r="V54" s="341"/>
      <c r="W54" s="345"/>
      <c r="X54" s="341"/>
      <c r="Y54" s="345"/>
      <c r="Z54" s="341"/>
    </row>
    <row r="55" spans="1:26" ht="5.0999999999999996" customHeight="1" x14ac:dyDescent="0.25">
      <c r="A55" s="310"/>
      <c r="B55" s="310"/>
      <c r="C55" s="345"/>
      <c r="D55" s="341"/>
      <c r="E55" s="345"/>
      <c r="F55" s="341"/>
      <c r="G55" s="345"/>
      <c r="H55" s="341"/>
      <c r="I55" s="345"/>
      <c r="J55" s="341"/>
      <c r="K55" s="345"/>
      <c r="L55" s="341"/>
      <c r="M55" s="345"/>
      <c r="N55" s="341"/>
      <c r="O55" s="345"/>
      <c r="P55" s="341"/>
      <c r="Q55" s="345"/>
      <c r="R55" s="341"/>
      <c r="S55" s="345"/>
      <c r="T55" s="341"/>
      <c r="U55" s="345"/>
      <c r="V55" s="341"/>
      <c r="W55" s="345"/>
      <c r="X55" s="341"/>
      <c r="Y55" s="345"/>
      <c r="Z55" s="341"/>
    </row>
    <row r="56" spans="1:26" ht="15.75" x14ac:dyDescent="0.25">
      <c r="A56" s="301" t="s">
        <v>208</v>
      </c>
      <c r="B56" s="310"/>
      <c r="C56" s="345"/>
      <c r="D56" s="341"/>
      <c r="E56" s="345"/>
      <c r="F56" s="341"/>
      <c r="G56" s="345"/>
      <c r="H56" s="341"/>
      <c r="I56" s="345"/>
      <c r="J56" s="341"/>
      <c r="K56" s="345"/>
      <c r="L56" s="341"/>
      <c r="M56" s="345"/>
      <c r="N56" s="341"/>
      <c r="O56" s="345"/>
      <c r="P56" s="341"/>
      <c r="Q56" s="345"/>
      <c r="R56" s="341"/>
      <c r="S56" s="345"/>
      <c r="T56" s="341"/>
      <c r="U56" s="345"/>
      <c r="V56" s="341"/>
      <c r="W56" s="345"/>
      <c r="X56" s="341"/>
      <c r="Y56" s="345"/>
      <c r="Z56" s="341"/>
    </row>
    <row r="57" spans="1:26" ht="5.0999999999999996" customHeight="1" x14ac:dyDescent="0.25">
      <c r="A57" s="301"/>
      <c r="B57" s="310"/>
      <c r="C57" s="345"/>
      <c r="D57" s="341"/>
      <c r="E57" s="345"/>
      <c r="F57" s="341"/>
      <c r="G57" s="345"/>
      <c r="H57" s="341"/>
      <c r="I57" s="345">
        <f>I124-C57</f>
        <v>0</v>
      </c>
      <c r="J57" s="341"/>
      <c r="K57" s="345"/>
      <c r="L57" s="341"/>
      <c r="M57" s="345">
        <f>M124-G57</f>
        <v>0</v>
      </c>
      <c r="N57" s="341"/>
      <c r="O57" s="345">
        <f>O124-I124</f>
        <v>0</v>
      </c>
      <c r="P57" s="341"/>
      <c r="Q57" s="345"/>
      <c r="R57" s="341"/>
      <c r="S57" s="345">
        <f>S124-M124</f>
        <v>0</v>
      </c>
      <c r="T57" s="341"/>
      <c r="U57" s="345">
        <f>U124-O124</f>
        <v>0</v>
      </c>
      <c r="V57" s="341"/>
      <c r="W57" s="345"/>
      <c r="X57" s="341"/>
      <c r="Y57" s="345">
        <f t="shared" ref="Y57" si="5">Y124-S123</f>
        <v>0</v>
      </c>
      <c r="Z57" s="341"/>
    </row>
    <row r="58" spans="1:26" ht="15.75" x14ac:dyDescent="0.25">
      <c r="A58" s="346" t="s">
        <v>209</v>
      </c>
      <c r="B58" s="310"/>
      <c r="C58" s="349">
        <f>C46/315.4</f>
        <v>2.7837666455294867</v>
      </c>
      <c r="D58" s="341"/>
      <c r="E58" s="349">
        <f>+G58-C58</f>
        <v>-0.44388078630310757</v>
      </c>
      <c r="F58" s="341"/>
      <c r="G58" s="349">
        <f>G46/315.4</f>
        <v>2.3398858592263792</v>
      </c>
      <c r="H58" s="341"/>
      <c r="I58" s="350">
        <f>I46/312</f>
        <v>2.9775641025641026</v>
      </c>
      <c r="J58" s="341"/>
      <c r="K58" s="349">
        <v>-0.37</v>
      </c>
      <c r="L58" s="341"/>
      <c r="M58" s="350">
        <f>M46/312</f>
        <v>2.6121794871794872</v>
      </c>
      <c r="N58" s="341"/>
      <c r="O58" s="350">
        <f>O46/308.4</f>
        <v>2.8047989623865113</v>
      </c>
      <c r="P58" s="341"/>
      <c r="Q58" s="349">
        <f>+S58-O58</f>
        <v>-0.35343709468223095</v>
      </c>
      <c r="R58" s="341"/>
      <c r="S58" s="350">
        <f>S46/308.4</f>
        <v>2.4513618677042803</v>
      </c>
      <c r="T58" s="341"/>
      <c r="U58" s="350">
        <f>U46/305.9</f>
        <v>3.0500163452108535</v>
      </c>
      <c r="V58" s="341"/>
      <c r="W58" s="349">
        <f>+Y58-U58</f>
        <v>-0.37920889179470407</v>
      </c>
      <c r="X58" s="341"/>
      <c r="Y58" s="350">
        <f>Y46/305.9</f>
        <v>2.6708074534161494</v>
      </c>
      <c r="Z58" s="341"/>
    </row>
    <row r="59" spans="1:26" ht="5.0999999999999996" customHeight="1" x14ac:dyDescent="0.25">
      <c r="A59" s="346"/>
      <c r="B59" s="310"/>
      <c r="C59" s="351"/>
      <c r="D59" s="341"/>
      <c r="E59" s="351"/>
      <c r="F59" s="341"/>
      <c r="G59" s="351"/>
      <c r="H59" s="341"/>
      <c r="I59" s="352"/>
      <c r="J59" s="341"/>
      <c r="K59" s="351"/>
      <c r="L59" s="341"/>
      <c r="M59" s="352"/>
      <c r="N59" s="341"/>
      <c r="O59" s="352"/>
      <c r="P59" s="341"/>
      <c r="Q59" s="351"/>
      <c r="R59" s="341"/>
      <c r="S59" s="352"/>
      <c r="T59" s="341"/>
      <c r="U59" s="352"/>
      <c r="V59" s="341"/>
      <c r="W59" s="351"/>
      <c r="X59" s="341"/>
      <c r="Y59" s="352"/>
      <c r="Z59" s="341"/>
    </row>
    <row r="60" spans="1:26" ht="15.75" x14ac:dyDescent="0.25">
      <c r="A60" s="346" t="s">
        <v>210</v>
      </c>
      <c r="B60" s="310"/>
      <c r="C60" s="353">
        <v>0</v>
      </c>
      <c r="D60" s="341"/>
      <c r="E60" s="353">
        <f>+G60-C60</f>
        <v>0.44388078630310718</v>
      </c>
      <c r="F60" s="341"/>
      <c r="G60" s="353">
        <f>G48/315.4</f>
        <v>0.44388078630310718</v>
      </c>
      <c r="H60" s="341"/>
      <c r="I60" s="354">
        <v>0</v>
      </c>
      <c r="J60" s="341"/>
      <c r="K60" s="353">
        <v>0.37</v>
      </c>
      <c r="L60" s="341"/>
      <c r="M60" s="354">
        <f>M48/312</f>
        <v>0.36538461538461536</v>
      </c>
      <c r="N60" s="341"/>
      <c r="O60" s="354">
        <v>0</v>
      </c>
      <c r="P60" s="341"/>
      <c r="Q60" s="353">
        <f>+S60-O60</f>
        <v>0.35343709468223089</v>
      </c>
      <c r="R60" s="341"/>
      <c r="S60" s="354">
        <f>S48/308.4</f>
        <v>0.35343709468223089</v>
      </c>
      <c r="T60" s="341"/>
      <c r="U60" s="354">
        <v>0</v>
      </c>
      <c r="V60" s="341"/>
      <c r="W60" s="353">
        <f>+Y60-U60</f>
        <v>0.37920889179470418</v>
      </c>
      <c r="X60" s="341"/>
      <c r="Y60" s="354">
        <f>Y48/305.9</f>
        <v>0.37920889179470418</v>
      </c>
      <c r="Z60" s="341"/>
    </row>
    <row r="61" spans="1:26" ht="5.0999999999999996" customHeight="1" x14ac:dyDescent="0.25">
      <c r="A61" s="346"/>
      <c r="B61" s="310"/>
      <c r="C61" s="351"/>
      <c r="D61" s="341"/>
      <c r="E61" s="351"/>
      <c r="F61" s="341"/>
      <c r="G61" s="351"/>
      <c r="H61" s="341"/>
      <c r="I61" s="352"/>
      <c r="J61" s="341"/>
      <c r="K61" s="351"/>
      <c r="L61" s="341"/>
      <c r="M61" s="352"/>
      <c r="N61" s="341"/>
      <c r="O61" s="352"/>
      <c r="P61" s="341"/>
      <c r="Q61" s="351"/>
      <c r="R61" s="341"/>
      <c r="S61" s="352"/>
      <c r="T61" s="341"/>
      <c r="U61" s="352"/>
      <c r="V61" s="341"/>
      <c r="W61" s="351"/>
      <c r="X61" s="341"/>
      <c r="Y61" s="352"/>
      <c r="Z61" s="341"/>
    </row>
    <row r="62" spans="1:26" ht="16.5" thickBot="1" x14ac:dyDescent="0.3">
      <c r="A62" s="355" t="s">
        <v>211</v>
      </c>
      <c r="B62" s="310"/>
      <c r="C62" s="356">
        <f>C58+C60</f>
        <v>2.7837666455294867</v>
      </c>
      <c r="D62" s="341"/>
      <c r="E62" s="356">
        <f>E58+E60</f>
        <v>0</v>
      </c>
      <c r="F62" s="341"/>
      <c r="G62" s="356">
        <f>G58+G60</f>
        <v>2.7837666455294863</v>
      </c>
      <c r="H62" s="341"/>
      <c r="I62" s="357">
        <f>I58+I60</f>
        <v>2.9775641025641026</v>
      </c>
      <c r="J62" s="341"/>
      <c r="K62" s="356">
        <f>K58+K60</f>
        <v>0</v>
      </c>
      <c r="L62" s="341"/>
      <c r="M62" s="357">
        <f>M58+M60</f>
        <v>2.9775641025641026</v>
      </c>
      <c r="N62" s="341"/>
      <c r="O62" s="357">
        <f>O58+O60</f>
        <v>2.8047989623865113</v>
      </c>
      <c r="P62" s="341"/>
      <c r="Q62" s="356">
        <f>Q58+Q60</f>
        <v>0</v>
      </c>
      <c r="R62" s="341"/>
      <c r="S62" s="357">
        <f>S58+S60</f>
        <v>2.8047989623865113</v>
      </c>
      <c r="T62" s="341"/>
      <c r="U62" s="357">
        <f>U58+U60</f>
        <v>3.0500163452108535</v>
      </c>
      <c r="V62" s="341"/>
      <c r="W62" s="356">
        <f>W58+W60</f>
        <v>0</v>
      </c>
      <c r="X62" s="341"/>
      <c r="Y62" s="357">
        <f>Y58+Y60</f>
        <v>3.0500163452108535</v>
      </c>
      <c r="Z62" s="341"/>
    </row>
    <row r="63" spans="1:26" ht="5.0999999999999996" customHeight="1" thickTop="1" x14ac:dyDescent="0.25">
      <c r="A63" s="310"/>
      <c r="B63" s="310"/>
      <c r="C63" s="351"/>
      <c r="D63" s="341"/>
      <c r="E63" s="351"/>
      <c r="F63" s="341"/>
      <c r="G63" s="351"/>
      <c r="H63" s="341"/>
      <c r="I63" s="352"/>
      <c r="J63" s="341"/>
      <c r="K63" s="351"/>
      <c r="L63" s="341"/>
      <c r="M63" s="352"/>
      <c r="N63" s="341"/>
      <c r="O63" s="352"/>
      <c r="P63" s="341"/>
      <c r="Q63" s="351"/>
      <c r="R63" s="341"/>
      <c r="S63" s="352"/>
      <c r="T63" s="341"/>
      <c r="U63" s="352"/>
      <c r="V63" s="341"/>
      <c r="W63" s="351"/>
      <c r="X63" s="341"/>
      <c r="Y63" s="352"/>
      <c r="Z63" s="341"/>
    </row>
    <row r="64" spans="1:26" ht="15.75" x14ac:dyDescent="0.25">
      <c r="A64" s="355" t="s">
        <v>212</v>
      </c>
      <c r="B64" s="310"/>
      <c r="C64" s="351"/>
      <c r="D64" s="341"/>
      <c r="E64" s="351"/>
      <c r="F64" s="341"/>
      <c r="G64" s="351"/>
      <c r="H64" s="341"/>
      <c r="I64" s="352"/>
      <c r="J64" s="341"/>
      <c r="K64" s="351"/>
      <c r="L64" s="341"/>
      <c r="M64" s="352"/>
      <c r="N64" s="341"/>
      <c r="O64" s="352"/>
      <c r="P64" s="341"/>
      <c r="Q64" s="351"/>
      <c r="R64" s="341"/>
      <c r="S64" s="352"/>
      <c r="T64" s="341"/>
      <c r="U64" s="352"/>
      <c r="V64" s="341"/>
      <c r="W64" s="351"/>
      <c r="X64" s="341"/>
      <c r="Y64" s="352"/>
      <c r="Z64" s="341"/>
    </row>
    <row r="65" spans="1:26" ht="5.0999999999999996" customHeight="1" x14ac:dyDescent="0.25">
      <c r="A65" s="355"/>
      <c r="B65" s="310"/>
      <c r="C65" s="351"/>
      <c r="D65" s="341"/>
      <c r="E65" s="351"/>
      <c r="F65" s="341"/>
      <c r="G65" s="351"/>
      <c r="H65" s="341"/>
      <c r="I65" s="352"/>
      <c r="J65" s="341"/>
      <c r="K65" s="351"/>
      <c r="L65" s="341"/>
      <c r="M65" s="352"/>
      <c r="N65" s="341"/>
      <c r="O65" s="352"/>
      <c r="P65" s="341"/>
      <c r="Q65" s="351"/>
      <c r="R65" s="341"/>
      <c r="S65" s="352"/>
      <c r="T65" s="341"/>
      <c r="U65" s="352"/>
      <c r="V65" s="341"/>
      <c r="W65" s="351"/>
      <c r="X65" s="341"/>
      <c r="Y65" s="352"/>
      <c r="Z65" s="341"/>
    </row>
    <row r="66" spans="1:26" ht="15.75" x14ac:dyDescent="0.25">
      <c r="A66" s="346" t="s">
        <v>209</v>
      </c>
      <c r="B66" s="310"/>
      <c r="C66" s="349">
        <f>C46/320.2</f>
        <v>2.7420362273579015</v>
      </c>
      <c r="D66" s="341"/>
      <c r="E66" s="349">
        <f>+G66-C66</f>
        <v>-0.43722673329169304</v>
      </c>
      <c r="F66" s="341"/>
      <c r="G66" s="349">
        <f>G46/320.2</f>
        <v>2.3048094940662085</v>
      </c>
      <c r="H66" s="341"/>
      <c r="I66" s="350">
        <f>I46/316.1</f>
        <v>2.9389433723505216</v>
      </c>
      <c r="J66" s="341"/>
      <c r="K66" s="349">
        <v>-0.36</v>
      </c>
      <c r="L66" s="341"/>
      <c r="M66" s="350">
        <f>M46/316.1</f>
        <v>2.5782980069598227</v>
      </c>
      <c r="N66" s="341"/>
      <c r="O66" s="350">
        <f>O46/312.7</f>
        <v>2.7662296130476496</v>
      </c>
      <c r="P66" s="341"/>
      <c r="Q66" s="349">
        <f>+S66-O66</f>
        <v>-0.34857691077710262</v>
      </c>
      <c r="R66" s="341"/>
      <c r="S66" s="350">
        <f>S46/312.7</f>
        <v>2.417652702270547</v>
      </c>
      <c r="T66" s="341"/>
      <c r="U66" s="350">
        <f>U46/310.2</f>
        <v>3.0077369439071568</v>
      </c>
      <c r="V66" s="341"/>
      <c r="W66" s="349">
        <v>-0.38</v>
      </c>
      <c r="X66" s="341"/>
      <c r="Y66" s="350">
        <f>Y46/310.2</f>
        <v>2.6337846550612509</v>
      </c>
      <c r="Z66" s="341"/>
    </row>
    <row r="67" spans="1:26" ht="5.0999999999999996" customHeight="1" x14ac:dyDescent="0.25">
      <c r="A67" s="346"/>
      <c r="B67" s="310"/>
      <c r="C67" s="351"/>
      <c r="D67" s="341"/>
      <c r="E67" s="351"/>
      <c r="F67" s="341"/>
      <c r="G67" s="351"/>
      <c r="H67" s="341"/>
      <c r="I67" s="352"/>
      <c r="J67" s="341"/>
      <c r="K67" s="351"/>
      <c r="L67" s="341"/>
      <c r="M67" s="352"/>
      <c r="N67" s="341"/>
      <c r="O67" s="352"/>
      <c r="P67" s="341"/>
      <c r="Q67" s="351"/>
      <c r="R67" s="341"/>
      <c r="S67" s="352"/>
      <c r="T67" s="341"/>
      <c r="U67" s="352"/>
      <c r="V67" s="341"/>
      <c r="W67" s="351"/>
      <c r="X67" s="341"/>
      <c r="Y67" s="352"/>
      <c r="Z67" s="341"/>
    </row>
    <row r="68" spans="1:26" ht="15.75" x14ac:dyDescent="0.25">
      <c r="A68" s="346" t="s">
        <v>210</v>
      </c>
      <c r="B68" s="310"/>
      <c r="C68" s="353">
        <v>0</v>
      </c>
      <c r="D68" s="341"/>
      <c r="E68" s="353">
        <f>+G68-C68</f>
        <v>0.4372267332916927</v>
      </c>
      <c r="F68" s="341"/>
      <c r="G68" s="353">
        <f>G48/320.2</f>
        <v>0.4372267332916927</v>
      </c>
      <c r="H68" s="341"/>
      <c r="I68" s="354">
        <v>0</v>
      </c>
      <c r="J68" s="341"/>
      <c r="K68" s="353">
        <v>0.36</v>
      </c>
      <c r="L68" s="341"/>
      <c r="M68" s="354">
        <f>M48/316.1</f>
        <v>0.36064536539069914</v>
      </c>
      <c r="N68" s="341"/>
      <c r="O68" s="354">
        <v>0</v>
      </c>
      <c r="P68" s="341"/>
      <c r="Q68" s="353">
        <f>+S68-O68</f>
        <v>0.34857691077710268</v>
      </c>
      <c r="R68" s="341"/>
      <c r="S68" s="354">
        <f>S48/312.7</f>
        <v>0.34857691077710268</v>
      </c>
      <c r="T68" s="341"/>
      <c r="U68" s="354">
        <v>0</v>
      </c>
      <c r="V68" s="341"/>
      <c r="W68" s="353">
        <v>0.38</v>
      </c>
      <c r="X68" s="341"/>
      <c r="Y68" s="354">
        <f>(Y48/310.2)+0.01</f>
        <v>0.38395228884590588</v>
      </c>
      <c r="Z68" s="341"/>
    </row>
    <row r="69" spans="1:26" ht="5.0999999999999996" customHeight="1" x14ac:dyDescent="0.25">
      <c r="A69" s="346"/>
      <c r="B69" s="310"/>
      <c r="C69" s="351"/>
      <c r="D69" s="341"/>
      <c r="E69" s="351"/>
      <c r="F69" s="341"/>
      <c r="G69" s="351"/>
      <c r="H69" s="341"/>
      <c r="I69" s="352"/>
      <c r="J69" s="341"/>
      <c r="K69" s="351"/>
      <c r="L69" s="341"/>
      <c r="M69" s="352"/>
      <c r="N69" s="341"/>
      <c r="O69" s="352"/>
      <c r="P69" s="341"/>
      <c r="Q69" s="351"/>
      <c r="R69" s="341"/>
      <c r="S69" s="352"/>
      <c r="T69" s="341"/>
      <c r="U69" s="352"/>
      <c r="V69" s="341"/>
      <c r="W69" s="351"/>
      <c r="X69" s="341"/>
      <c r="Y69" s="352"/>
      <c r="Z69" s="341"/>
    </row>
    <row r="70" spans="1:26" ht="16.5" thickBot="1" x14ac:dyDescent="0.3">
      <c r="A70" s="355" t="s">
        <v>213</v>
      </c>
      <c r="B70" s="310"/>
      <c r="C70" s="356">
        <f>C66+C68</f>
        <v>2.7420362273579015</v>
      </c>
      <c r="D70" s="341"/>
      <c r="E70" s="356">
        <f>E66+E68</f>
        <v>0</v>
      </c>
      <c r="F70" s="341"/>
      <c r="G70" s="356">
        <f>G66+G68</f>
        <v>2.7420362273579011</v>
      </c>
      <c r="H70" s="341"/>
      <c r="I70" s="357">
        <f>I66+I68</f>
        <v>2.9389433723505216</v>
      </c>
      <c r="J70" s="341"/>
      <c r="K70" s="356">
        <f>K66+K68</f>
        <v>0</v>
      </c>
      <c r="L70" s="341"/>
      <c r="M70" s="357">
        <f>M66+M68</f>
        <v>2.9389433723505221</v>
      </c>
      <c r="N70" s="341"/>
      <c r="O70" s="357">
        <f>O66+O68</f>
        <v>2.7662296130476496</v>
      </c>
      <c r="P70" s="341"/>
      <c r="Q70" s="356">
        <f>Q66+Q68</f>
        <v>0</v>
      </c>
      <c r="R70" s="341"/>
      <c r="S70" s="357">
        <f>S66+S68</f>
        <v>2.7662296130476496</v>
      </c>
      <c r="T70" s="341"/>
      <c r="U70" s="357">
        <f>U66+U68</f>
        <v>3.0077369439071568</v>
      </c>
      <c r="V70" s="341"/>
      <c r="W70" s="356">
        <f>W66+W68</f>
        <v>0</v>
      </c>
      <c r="X70" s="341"/>
      <c r="Y70" s="357">
        <f>Y66+Y68-0.01</f>
        <v>3.0077369439071568</v>
      </c>
      <c r="Z70" s="341"/>
    </row>
    <row r="71" spans="1:26" ht="16.5" thickTop="1" x14ac:dyDescent="0.25">
      <c r="A71" s="358"/>
      <c r="B71" s="359"/>
      <c r="C71" s="360"/>
      <c r="D71" s="361"/>
      <c r="E71" s="360"/>
      <c r="F71" s="361"/>
      <c r="G71" s="360"/>
      <c r="H71" s="361"/>
      <c r="I71" s="360"/>
      <c r="J71" s="361"/>
      <c r="K71" s="360"/>
      <c r="L71" s="361"/>
      <c r="M71" s="360"/>
      <c r="N71" s="361"/>
      <c r="O71" s="360"/>
      <c r="P71" s="361"/>
      <c r="Q71" s="360"/>
      <c r="R71" s="361"/>
      <c r="S71" s="360"/>
      <c r="T71" s="361"/>
      <c r="U71" s="360"/>
      <c r="V71" s="361"/>
      <c r="W71" s="360"/>
      <c r="X71" s="361"/>
      <c r="Y71" s="360"/>
      <c r="Z71" s="361"/>
    </row>
    <row r="72" spans="1:26" ht="5.25" customHeight="1" x14ac:dyDescent="0.25">
      <c r="A72" s="362"/>
      <c r="B72" s="362"/>
      <c r="C72" s="363"/>
      <c r="D72" s="364"/>
      <c r="E72" s="363"/>
      <c r="F72" s="364"/>
      <c r="G72" s="363"/>
      <c r="H72" s="365"/>
      <c r="I72" s="363"/>
      <c r="J72" s="365"/>
      <c r="K72" s="363"/>
      <c r="L72" s="365"/>
      <c r="M72" s="363"/>
      <c r="N72" s="365"/>
      <c r="O72" s="363"/>
      <c r="P72" s="365"/>
      <c r="Q72" s="363"/>
      <c r="R72" s="365"/>
      <c r="S72" s="363"/>
      <c r="T72" s="365"/>
      <c r="U72" s="363"/>
      <c r="V72" s="365"/>
      <c r="W72" s="363"/>
      <c r="X72" s="365"/>
      <c r="Y72" s="363"/>
      <c r="Z72" s="365"/>
    </row>
    <row r="73" spans="1:26" s="368" customFormat="1" ht="5.25" customHeight="1" x14ac:dyDescent="0.25">
      <c r="A73" s="366"/>
      <c r="B73" s="366"/>
      <c r="C73" s="367"/>
      <c r="E73" s="367"/>
      <c r="G73" s="367"/>
      <c r="H73" s="369"/>
      <c r="I73" s="367"/>
      <c r="J73" s="369"/>
      <c r="K73" s="367"/>
      <c r="L73" s="369"/>
      <c r="M73" s="367"/>
      <c r="N73" s="369"/>
      <c r="O73" s="367"/>
      <c r="P73" s="369"/>
      <c r="Q73" s="367"/>
      <c r="R73" s="369"/>
      <c r="S73" s="367"/>
      <c r="T73" s="369"/>
      <c r="U73" s="367"/>
      <c r="V73" s="369"/>
      <c r="W73" s="367"/>
      <c r="X73" s="369"/>
      <c r="Y73" s="367"/>
      <c r="Z73" s="369"/>
    </row>
    <row r="74" spans="1:26" ht="16.5" thickBot="1" x14ac:dyDescent="0.3">
      <c r="A74" s="311"/>
      <c r="B74" s="311"/>
      <c r="C74" s="405" t="s">
        <v>214</v>
      </c>
      <c r="D74" s="405"/>
      <c r="E74" s="405"/>
      <c r="F74" s="405"/>
      <c r="G74" s="405"/>
      <c r="I74" s="405" t="s">
        <v>215</v>
      </c>
      <c r="J74" s="405"/>
      <c r="K74" s="405"/>
      <c r="L74" s="405"/>
      <c r="M74" s="405"/>
      <c r="O74" s="405" t="s">
        <v>216</v>
      </c>
      <c r="P74" s="405"/>
      <c r="Q74" s="405"/>
      <c r="R74" s="405"/>
      <c r="S74" s="405"/>
      <c r="U74" s="406" t="s">
        <v>217</v>
      </c>
      <c r="V74" s="406"/>
      <c r="W74" s="406"/>
      <c r="X74" s="406"/>
      <c r="Y74" s="406"/>
      <c r="Z74" s="301"/>
    </row>
    <row r="75" spans="1:26" s="316" customFormat="1" ht="47.25" x14ac:dyDescent="0.25">
      <c r="A75" s="305" t="s">
        <v>13</v>
      </c>
      <c r="B75" s="305"/>
      <c r="C75" s="313" t="s">
        <v>197</v>
      </c>
      <c r="D75" s="314"/>
      <c r="E75" s="313" t="s">
        <v>198</v>
      </c>
      <c r="F75" s="314"/>
      <c r="G75" s="313" t="s">
        <v>199</v>
      </c>
      <c r="H75" s="315"/>
      <c r="I75" s="313" t="s">
        <v>197</v>
      </c>
      <c r="J75" s="314"/>
      <c r="K75" s="313" t="s">
        <v>198</v>
      </c>
      <c r="L75" s="314"/>
      <c r="M75" s="313" t="s">
        <v>199</v>
      </c>
      <c r="N75" s="315"/>
      <c r="O75" s="313" t="s">
        <v>197</v>
      </c>
      <c r="P75" s="314"/>
      <c r="Q75" s="313" t="s">
        <v>198</v>
      </c>
      <c r="R75" s="314"/>
      <c r="S75" s="313" t="s">
        <v>199</v>
      </c>
      <c r="T75" s="315"/>
      <c r="U75" s="313" t="s">
        <v>197</v>
      </c>
      <c r="V75" s="314"/>
      <c r="W75" s="313" t="s">
        <v>198</v>
      </c>
      <c r="X75" s="314"/>
      <c r="Y75" s="313" t="s">
        <v>199</v>
      </c>
      <c r="Z75" s="315"/>
    </row>
    <row r="76" spans="1:26" s="316" customFormat="1" ht="4.1500000000000004" customHeight="1" x14ac:dyDescent="0.25">
      <c r="A76" s="305"/>
      <c r="B76" s="305"/>
      <c r="C76" s="370"/>
      <c r="D76" s="314"/>
      <c r="E76" s="370"/>
      <c r="F76" s="314"/>
      <c r="G76" s="370"/>
      <c r="H76" s="315"/>
      <c r="I76" s="370"/>
      <c r="J76" s="314"/>
      <c r="K76" s="370"/>
      <c r="L76" s="314"/>
      <c r="M76" s="370"/>
      <c r="N76" s="315"/>
      <c r="O76" s="370"/>
      <c r="P76" s="314"/>
      <c r="Q76" s="370"/>
      <c r="R76" s="314"/>
      <c r="S76" s="370"/>
      <c r="T76" s="315"/>
      <c r="U76" s="370"/>
      <c r="V76" s="314"/>
      <c r="W76" s="370"/>
      <c r="X76" s="314"/>
      <c r="Y76" s="370"/>
      <c r="Z76" s="315"/>
    </row>
    <row r="77" spans="1:26" s="316" customFormat="1" ht="15.75" x14ac:dyDescent="0.25">
      <c r="A77" s="321" t="s">
        <v>97</v>
      </c>
      <c r="B77" s="305"/>
      <c r="C77" s="322">
        <v>3134</v>
      </c>
      <c r="D77" s="314"/>
      <c r="E77" s="322">
        <v>0</v>
      </c>
      <c r="F77" s="322"/>
      <c r="G77" s="322">
        <v>3134</v>
      </c>
      <c r="H77" s="322"/>
      <c r="I77" s="322">
        <v>7265</v>
      </c>
      <c r="J77" s="322"/>
      <c r="K77" s="322">
        <v>0</v>
      </c>
      <c r="L77" s="322"/>
      <c r="M77" s="322">
        <v>7265</v>
      </c>
      <c r="N77" s="322"/>
      <c r="O77" s="322">
        <v>11186</v>
      </c>
      <c r="P77" s="322"/>
      <c r="Q77" s="322">
        <v>0</v>
      </c>
      <c r="R77" s="322"/>
      <c r="S77" s="322">
        <v>11186</v>
      </c>
      <c r="T77" s="322"/>
      <c r="U77" s="322">
        <v>15570</v>
      </c>
      <c r="V77" s="322"/>
      <c r="W77" s="322">
        <v>0</v>
      </c>
      <c r="X77" s="322"/>
      <c r="Y77" s="322">
        <v>15570</v>
      </c>
      <c r="Z77" s="315"/>
    </row>
    <row r="78" spans="1:26" s="316" customFormat="1" ht="4.1500000000000004" customHeight="1" x14ac:dyDescent="0.25">
      <c r="A78" s="321"/>
      <c r="B78" s="305"/>
      <c r="C78" s="322"/>
      <c r="D78" s="314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15"/>
    </row>
    <row r="79" spans="1:26" s="316" customFormat="1" ht="15.75" x14ac:dyDescent="0.25">
      <c r="A79" s="321" t="s">
        <v>200</v>
      </c>
      <c r="B79" s="305"/>
      <c r="C79" s="326">
        <v>1390</v>
      </c>
      <c r="D79" s="324"/>
      <c r="E79" s="326">
        <v>-1390</v>
      </c>
      <c r="F79" s="324"/>
      <c r="G79" s="326">
        <v>0</v>
      </c>
      <c r="H79" s="371"/>
      <c r="I79" s="326">
        <v>2798</v>
      </c>
      <c r="J79" s="324"/>
      <c r="K79" s="326">
        <v>-2798</v>
      </c>
      <c r="L79" s="324"/>
      <c r="M79" s="326">
        <v>0</v>
      </c>
      <c r="N79" s="371"/>
      <c r="O79" s="326">
        <v>4199</v>
      </c>
      <c r="P79" s="324"/>
      <c r="Q79" s="326">
        <v>-4199</v>
      </c>
      <c r="R79" s="324"/>
      <c r="S79" s="326">
        <v>0</v>
      </c>
      <c r="T79" s="371"/>
      <c r="U79" s="326">
        <v>5596</v>
      </c>
      <c r="V79" s="324"/>
      <c r="W79" s="326">
        <v>-5596</v>
      </c>
      <c r="X79" s="324"/>
      <c r="Y79" s="326">
        <v>0</v>
      </c>
      <c r="Z79" s="315"/>
    </row>
    <row r="80" spans="1:26" s="316" customFormat="1" ht="4.1500000000000004" customHeight="1" x14ac:dyDescent="0.25">
      <c r="A80" s="321"/>
      <c r="B80" s="305"/>
      <c r="C80" s="326"/>
      <c r="D80" s="324"/>
      <c r="E80" s="326"/>
      <c r="F80" s="324"/>
      <c r="G80" s="326"/>
      <c r="H80" s="371"/>
      <c r="I80" s="326"/>
      <c r="J80" s="324"/>
      <c r="K80" s="326"/>
      <c r="L80" s="324"/>
      <c r="M80" s="326"/>
      <c r="N80" s="371"/>
      <c r="O80" s="326"/>
      <c r="P80" s="324"/>
      <c r="Q80" s="326"/>
      <c r="R80" s="324"/>
      <c r="S80" s="326"/>
      <c r="T80" s="371"/>
      <c r="U80" s="326"/>
      <c r="V80" s="324"/>
      <c r="W80" s="326"/>
      <c r="X80" s="324"/>
      <c r="Y80" s="326"/>
      <c r="Z80" s="315"/>
    </row>
    <row r="81" spans="1:26" s="316" customFormat="1" ht="15.75" x14ac:dyDescent="0.25">
      <c r="A81" s="321" t="s">
        <v>98</v>
      </c>
      <c r="B81" s="305"/>
      <c r="C81" s="326">
        <v>1383</v>
      </c>
      <c r="D81" s="324"/>
      <c r="E81" s="372">
        <v>0</v>
      </c>
      <c r="F81" s="324"/>
      <c r="G81" s="326">
        <v>1383</v>
      </c>
      <c r="H81" s="371"/>
      <c r="I81" s="326">
        <v>3032</v>
      </c>
      <c r="J81" s="324"/>
      <c r="K81" s="372">
        <v>0</v>
      </c>
      <c r="L81" s="324"/>
      <c r="M81" s="326">
        <v>3032</v>
      </c>
      <c r="N81" s="371"/>
      <c r="O81" s="326">
        <v>4801</v>
      </c>
      <c r="P81" s="324"/>
      <c r="Q81" s="372">
        <v>0</v>
      </c>
      <c r="R81" s="324"/>
      <c r="S81" s="326">
        <v>4801</v>
      </c>
      <c r="T81" s="371"/>
      <c r="U81" s="326">
        <v>6770</v>
      </c>
      <c r="V81" s="324"/>
      <c r="W81" s="372">
        <v>0</v>
      </c>
      <c r="X81" s="324"/>
      <c r="Y81" s="326">
        <v>6770</v>
      </c>
      <c r="Z81" s="315"/>
    </row>
    <row r="82" spans="1:26" s="316" customFormat="1" ht="3.6" customHeight="1" x14ac:dyDescent="0.25">
      <c r="A82" s="321"/>
      <c r="B82" s="305"/>
      <c r="C82" s="326"/>
      <c r="D82" s="324"/>
      <c r="E82" s="372"/>
      <c r="F82" s="324"/>
      <c r="G82" s="326"/>
      <c r="H82" s="371"/>
      <c r="I82" s="326"/>
      <c r="J82" s="324"/>
      <c r="K82" s="372"/>
      <c r="L82" s="324"/>
      <c r="M82" s="326"/>
      <c r="N82" s="371"/>
      <c r="O82" s="326"/>
      <c r="P82" s="324"/>
      <c r="Q82" s="372"/>
      <c r="R82" s="324"/>
      <c r="S82" s="326"/>
      <c r="T82" s="371"/>
      <c r="U82" s="326"/>
      <c r="V82" s="324"/>
      <c r="W82" s="372"/>
      <c r="X82" s="324"/>
      <c r="Y82" s="326"/>
      <c r="Z82" s="315"/>
    </row>
    <row r="83" spans="1:26" s="316" customFormat="1" ht="15.75" x14ac:dyDescent="0.25">
      <c r="A83" s="321" t="s">
        <v>126</v>
      </c>
      <c r="B83" s="305"/>
      <c r="C83" s="326">
        <v>1979</v>
      </c>
      <c r="D83" s="324"/>
      <c r="E83" s="372">
        <v>0</v>
      </c>
      <c r="F83" s="324"/>
      <c r="G83" s="326">
        <v>1979</v>
      </c>
      <c r="H83" s="371"/>
      <c r="I83" s="326">
        <v>4144</v>
      </c>
      <c r="J83" s="324"/>
      <c r="K83" s="372">
        <v>0</v>
      </c>
      <c r="L83" s="324"/>
      <c r="M83" s="326">
        <v>4144</v>
      </c>
      <c r="N83" s="371"/>
      <c r="O83" s="326">
        <v>6306</v>
      </c>
      <c r="P83" s="324"/>
      <c r="Q83" s="372">
        <v>0</v>
      </c>
      <c r="R83" s="324"/>
      <c r="S83" s="326">
        <v>6306</v>
      </c>
      <c r="T83" s="371"/>
      <c r="U83" s="326">
        <v>9091</v>
      </c>
      <c r="V83" s="324"/>
      <c r="W83" s="372">
        <v>0</v>
      </c>
      <c r="X83" s="324"/>
      <c r="Y83" s="326">
        <v>9091</v>
      </c>
      <c r="Z83" s="315"/>
    </row>
    <row r="84" spans="1:26" s="316" customFormat="1" ht="3" customHeight="1" x14ac:dyDescent="0.25">
      <c r="A84" s="321"/>
      <c r="B84" s="305"/>
      <c r="C84" s="326"/>
      <c r="D84" s="324"/>
      <c r="E84" s="372"/>
      <c r="F84" s="324"/>
      <c r="G84" s="326"/>
      <c r="H84" s="371"/>
      <c r="I84" s="326"/>
      <c r="J84" s="324"/>
      <c r="K84" s="372"/>
      <c r="L84" s="324"/>
      <c r="M84" s="326"/>
      <c r="N84" s="371"/>
      <c r="O84" s="326"/>
      <c r="P84" s="324"/>
      <c r="Q84" s="372"/>
      <c r="R84" s="324"/>
      <c r="S84" s="326"/>
      <c r="T84" s="371"/>
      <c r="U84" s="326"/>
      <c r="V84" s="324"/>
      <c r="W84" s="372"/>
      <c r="X84" s="324"/>
      <c r="Y84" s="326"/>
      <c r="Z84" s="315"/>
    </row>
    <row r="85" spans="1:26" ht="15.75" x14ac:dyDescent="0.25">
      <c r="A85" s="321" t="s">
        <v>99</v>
      </c>
      <c r="B85" s="310"/>
      <c r="C85" s="372">
        <v>2225</v>
      </c>
      <c r="D85" s="327"/>
      <c r="E85" s="372">
        <v>0</v>
      </c>
      <c r="F85" s="327"/>
      <c r="G85" s="372">
        <v>2225</v>
      </c>
      <c r="H85" s="327"/>
      <c r="I85" s="373">
        <v>4515</v>
      </c>
      <c r="J85" s="374"/>
      <c r="K85" s="372">
        <v>0</v>
      </c>
      <c r="L85" s="374"/>
      <c r="M85" s="372">
        <v>4515</v>
      </c>
      <c r="N85" s="327"/>
      <c r="O85" s="372">
        <v>6723</v>
      </c>
      <c r="P85" s="374"/>
      <c r="Q85" s="372">
        <v>0</v>
      </c>
      <c r="R85" s="374"/>
      <c r="S85" s="372">
        <v>6723</v>
      </c>
      <c r="T85" s="327"/>
      <c r="U85" s="372">
        <v>9105</v>
      </c>
      <c r="V85" s="374"/>
      <c r="W85" s="372">
        <v>0</v>
      </c>
      <c r="X85" s="374"/>
      <c r="Y85" s="372">
        <v>9105</v>
      </c>
      <c r="Z85" s="319"/>
    </row>
    <row r="86" spans="1:26" ht="6" customHeight="1" x14ac:dyDescent="0.25">
      <c r="A86" s="321"/>
      <c r="B86" s="310"/>
      <c r="C86" s="318"/>
      <c r="D86" s="319"/>
      <c r="E86" s="318"/>
      <c r="F86" s="319"/>
      <c r="G86" s="318"/>
      <c r="H86" s="319"/>
      <c r="I86" s="320"/>
      <c r="K86" s="318"/>
      <c r="M86" s="318"/>
      <c r="N86" s="319"/>
      <c r="O86" s="318"/>
      <c r="Q86" s="318"/>
      <c r="S86" s="318"/>
      <c r="T86" s="319"/>
      <c r="U86" s="318"/>
      <c r="V86" s="301"/>
      <c r="W86" s="318"/>
      <c r="X86" s="301"/>
      <c r="Y86" s="318"/>
      <c r="Z86" s="319"/>
    </row>
    <row r="87" spans="1:26" ht="15.75" x14ac:dyDescent="0.25">
      <c r="A87" s="328" t="s">
        <v>2</v>
      </c>
      <c r="B87" s="310"/>
      <c r="C87" s="336">
        <f>SUM(C77:C85)</f>
        <v>10111</v>
      </c>
      <c r="D87" s="375"/>
      <c r="E87" s="336">
        <f>SUM(E77:E85)</f>
        <v>-1390</v>
      </c>
      <c r="F87" s="375"/>
      <c r="G87" s="336">
        <f>SUM(C87,E87)</f>
        <v>8721</v>
      </c>
      <c r="H87" s="375"/>
      <c r="I87" s="336">
        <f>SUM(I77:I85)</f>
        <v>21754</v>
      </c>
      <c r="J87" s="371"/>
      <c r="K87" s="336">
        <v>-2798</v>
      </c>
      <c r="L87" s="371"/>
      <c r="M87" s="336">
        <f>SUM(I87,K87)</f>
        <v>18956</v>
      </c>
      <c r="N87" s="375"/>
      <c r="O87" s="336">
        <f>SUM(O77:O85)</f>
        <v>33215</v>
      </c>
      <c r="P87" s="371"/>
      <c r="Q87" s="336">
        <f>SUM(Q77:Q85)</f>
        <v>-4199</v>
      </c>
      <c r="R87" s="371"/>
      <c r="S87" s="336">
        <f>SUM(S77:S85)</f>
        <v>29016</v>
      </c>
      <c r="T87" s="375"/>
      <c r="U87" s="336">
        <f>SUM(U77:U85)</f>
        <v>46132</v>
      </c>
      <c r="V87" s="371"/>
      <c r="W87" s="336">
        <f>SUM(W77:W85)</f>
        <v>-5596</v>
      </c>
      <c r="X87" s="371"/>
      <c r="Y87" s="336">
        <f>SUM(Y77:Y85)</f>
        <v>40536</v>
      </c>
      <c r="Z87" s="331"/>
    </row>
    <row r="88" spans="1:26" ht="5.0999999999999996" customHeight="1" x14ac:dyDescent="0.25">
      <c r="A88" s="328"/>
      <c r="B88" s="310"/>
      <c r="C88" s="333"/>
      <c r="D88" s="331"/>
      <c r="E88" s="333"/>
      <c r="F88" s="331"/>
      <c r="G88" s="333"/>
      <c r="H88" s="331"/>
      <c r="I88" s="333"/>
      <c r="J88" s="315"/>
      <c r="K88" s="333"/>
      <c r="L88" s="315"/>
      <c r="M88" s="333"/>
      <c r="N88" s="331"/>
      <c r="O88" s="333"/>
      <c r="P88" s="315"/>
      <c r="Q88" s="333"/>
      <c r="R88" s="315"/>
      <c r="S88" s="333"/>
      <c r="T88" s="331"/>
      <c r="U88" s="333"/>
      <c r="V88" s="315"/>
      <c r="W88" s="333"/>
      <c r="X88" s="315"/>
      <c r="Y88" s="333"/>
      <c r="Z88" s="331"/>
    </row>
    <row r="89" spans="1:26" ht="15.75" x14ac:dyDescent="0.25">
      <c r="A89" s="321" t="s">
        <v>97</v>
      </c>
      <c r="B89" s="305"/>
      <c r="C89" s="333">
        <v>371</v>
      </c>
      <c r="D89" s="334"/>
      <c r="E89" s="333">
        <v>0</v>
      </c>
      <c r="F89" s="334"/>
      <c r="G89" s="333">
        <v>371</v>
      </c>
      <c r="H89" s="334"/>
      <c r="I89" s="333">
        <v>815</v>
      </c>
      <c r="K89" s="333">
        <v>0</v>
      </c>
      <c r="M89" s="333">
        <v>815</v>
      </c>
      <c r="N89" s="334"/>
      <c r="O89" s="333">
        <v>1233</v>
      </c>
      <c r="Q89" s="333">
        <v>0</v>
      </c>
      <c r="S89" s="333">
        <v>1233</v>
      </c>
      <c r="T89" s="334"/>
      <c r="U89" s="333">
        <v>1681</v>
      </c>
      <c r="V89" s="301"/>
      <c r="W89" s="333">
        <v>0</v>
      </c>
      <c r="X89" s="301"/>
      <c r="Y89" s="333">
        <v>1681</v>
      </c>
      <c r="Z89" s="334"/>
    </row>
    <row r="90" spans="1:26" ht="3" customHeight="1" x14ac:dyDescent="0.25">
      <c r="A90" s="321"/>
      <c r="B90" s="305"/>
      <c r="C90" s="333"/>
      <c r="D90" s="334"/>
      <c r="E90" s="333"/>
      <c r="F90" s="334"/>
      <c r="G90" s="333"/>
      <c r="H90" s="334"/>
      <c r="I90" s="333"/>
      <c r="K90" s="333"/>
      <c r="M90" s="333"/>
      <c r="N90" s="334"/>
      <c r="O90" s="333"/>
      <c r="Q90" s="333"/>
      <c r="S90" s="333"/>
      <c r="T90" s="334"/>
      <c r="U90" s="333"/>
      <c r="V90" s="301"/>
      <c r="W90" s="333"/>
      <c r="X90" s="301"/>
      <c r="Y90" s="333"/>
      <c r="Z90" s="334"/>
    </row>
    <row r="91" spans="1:26" ht="15.75" x14ac:dyDescent="0.25">
      <c r="A91" s="321" t="s">
        <v>200</v>
      </c>
      <c r="B91" s="305"/>
      <c r="C91" s="333">
        <v>145</v>
      </c>
      <c r="D91" s="334"/>
      <c r="E91" s="333">
        <v>-145</v>
      </c>
      <c r="F91" s="334"/>
      <c r="G91" s="333">
        <v>0</v>
      </c>
      <c r="H91" s="334"/>
      <c r="I91" s="333">
        <v>252</v>
      </c>
      <c r="K91" s="333">
        <v>-252</v>
      </c>
      <c r="M91" s="333">
        <v>0</v>
      </c>
      <c r="N91" s="334"/>
      <c r="O91" s="333">
        <v>377</v>
      </c>
      <c r="Q91" s="333">
        <v>-377</v>
      </c>
      <c r="S91" s="333">
        <v>0</v>
      </c>
      <c r="T91" s="334"/>
      <c r="U91" s="333">
        <v>508</v>
      </c>
      <c r="V91" s="301"/>
      <c r="W91" s="333">
        <v>-508</v>
      </c>
      <c r="X91" s="301"/>
      <c r="Y91" s="333">
        <v>0</v>
      </c>
      <c r="Z91" s="334"/>
    </row>
    <row r="92" spans="1:26" ht="3" customHeight="1" x14ac:dyDescent="0.25">
      <c r="A92" s="321"/>
      <c r="B92" s="305"/>
      <c r="C92" s="333"/>
      <c r="D92" s="334"/>
      <c r="E92" s="333"/>
      <c r="F92" s="334"/>
      <c r="G92" s="333"/>
      <c r="H92" s="334"/>
      <c r="I92" s="333"/>
      <c r="K92" s="333"/>
      <c r="M92" s="333"/>
      <c r="N92" s="334"/>
      <c r="O92" s="333"/>
      <c r="Q92" s="333"/>
      <c r="S92" s="333"/>
      <c r="T92" s="334"/>
      <c r="U92" s="333"/>
      <c r="V92" s="301"/>
      <c r="W92" s="333"/>
      <c r="X92" s="301"/>
      <c r="Y92" s="333"/>
      <c r="Z92" s="334"/>
    </row>
    <row r="93" spans="1:26" ht="15.75" x14ac:dyDescent="0.25">
      <c r="A93" s="321" t="s">
        <v>98</v>
      </c>
      <c r="B93" s="305"/>
      <c r="C93" s="333">
        <v>286</v>
      </c>
      <c r="D93" s="334"/>
      <c r="E93" s="333">
        <v>0</v>
      </c>
      <c r="F93" s="334"/>
      <c r="G93" s="333">
        <v>286</v>
      </c>
      <c r="H93" s="334"/>
      <c r="I93" s="333">
        <v>579</v>
      </c>
      <c r="K93" s="333">
        <v>0</v>
      </c>
      <c r="M93" s="333">
        <v>579</v>
      </c>
      <c r="N93" s="334"/>
      <c r="O93" s="333">
        <v>895</v>
      </c>
      <c r="Q93" s="333">
        <v>0</v>
      </c>
      <c r="S93" s="333">
        <v>895</v>
      </c>
      <c r="T93" s="334"/>
      <c r="U93" s="333">
        <v>1282</v>
      </c>
      <c r="V93" s="301"/>
      <c r="W93" s="333">
        <v>0</v>
      </c>
      <c r="X93" s="301"/>
      <c r="Y93" s="333">
        <v>1282</v>
      </c>
      <c r="Z93" s="334"/>
    </row>
    <row r="94" spans="1:26" ht="3" customHeight="1" x14ac:dyDescent="0.25">
      <c r="A94" s="321"/>
      <c r="B94" s="305"/>
      <c r="C94" s="333"/>
      <c r="D94" s="334"/>
      <c r="E94" s="333"/>
      <c r="F94" s="334"/>
      <c r="G94" s="333"/>
      <c r="H94" s="334"/>
      <c r="I94" s="333"/>
      <c r="K94" s="333"/>
      <c r="M94" s="333"/>
      <c r="N94" s="334"/>
      <c r="O94" s="333"/>
      <c r="Q94" s="333"/>
      <c r="S94" s="333"/>
      <c r="T94" s="334"/>
      <c r="U94" s="333"/>
      <c r="V94" s="301"/>
      <c r="W94" s="333"/>
      <c r="X94" s="301"/>
      <c r="Y94" s="333"/>
      <c r="Z94" s="334"/>
    </row>
    <row r="95" spans="1:26" ht="15.75" x14ac:dyDescent="0.25">
      <c r="A95" s="321" t="s">
        <v>126</v>
      </c>
      <c r="B95" s="305"/>
      <c r="C95" s="333">
        <v>180</v>
      </c>
      <c r="D95" s="334"/>
      <c r="E95" s="333">
        <v>0</v>
      </c>
      <c r="F95" s="334"/>
      <c r="G95" s="333">
        <v>180</v>
      </c>
      <c r="H95" s="334"/>
      <c r="I95" s="333">
        <v>442</v>
      </c>
      <c r="K95" s="333">
        <v>0</v>
      </c>
      <c r="M95" s="333">
        <v>442</v>
      </c>
      <c r="N95" s="334"/>
      <c r="O95" s="333">
        <v>687</v>
      </c>
      <c r="Q95" s="333">
        <v>0</v>
      </c>
      <c r="S95" s="333">
        <v>687</v>
      </c>
      <c r="T95" s="334"/>
      <c r="U95" s="333">
        <v>844</v>
      </c>
      <c r="V95" s="301"/>
      <c r="W95" s="333">
        <v>0</v>
      </c>
      <c r="X95" s="301"/>
      <c r="Y95" s="333">
        <v>844</v>
      </c>
      <c r="Z95" s="334"/>
    </row>
    <row r="96" spans="1:26" ht="3" customHeight="1" x14ac:dyDescent="0.25">
      <c r="A96" s="321"/>
      <c r="B96" s="305"/>
      <c r="C96" s="333"/>
      <c r="D96" s="334"/>
      <c r="E96" s="333"/>
      <c r="F96" s="334"/>
      <c r="G96" s="333"/>
      <c r="H96" s="334"/>
      <c r="I96" s="333"/>
      <c r="K96" s="333"/>
      <c r="M96" s="333"/>
      <c r="N96" s="334"/>
      <c r="O96" s="333"/>
      <c r="Q96" s="333"/>
      <c r="S96" s="333"/>
      <c r="T96" s="334"/>
      <c r="U96" s="333"/>
      <c r="V96" s="301"/>
      <c r="W96" s="333"/>
      <c r="X96" s="301"/>
      <c r="Y96" s="333"/>
      <c r="Z96" s="334"/>
    </row>
    <row r="97" spans="1:26" ht="15.75" x14ac:dyDescent="0.25">
      <c r="A97" s="321" t="s">
        <v>99</v>
      </c>
      <c r="B97" s="305"/>
      <c r="C97" s="333">
        <v>324</v>
      </c>
      <c r="D97" s="334"/>
      <c r="E97" s="333">
        <v>0</v>
      </c>
      <c r="F97" s="334"/>
      <c r="G97" s="333">
        <v>324</v>
      </c>
      <c r="H97" s="334"/>
      <c r="I97" s="333">
        <v>618</v>
      </c>
      <c r="K97" s="333">
        <v>0</v>
      </c>
      <c r="M97" s="333">
        <v>618</v>
      </c>
      <c r="N97" s="334"/>
      <c r="O97" s="333">
        <v>883</v>
      </c>
      <c r="Q97" s="333">
        <v>0</v>
      </c>
      <c r="S97" s="333">
        <v>883</v>
      </c>
      <c r="T97" s="334"/>
      <c r="U97" s="333">
        <v>1171</v>
      </c>
      <c r="V97" s="301"/>
      <c r="W97" s="333">
        <v>0</v>
      </c>
      <c r="X97" s="301"/>
      <c r="Y97" s="333">
        <v>1171</v>
      </c>
      <c r="Z97" s="334"/>
    </row>
    <row r="98" spans="1:26" s="316" customFormat="1" ht="7.15" customHeight="1" x14ac:dyDescent="0.25">
      <c r="A98" s="335"/>
      <c r="B98" s="310"/>
      <c r="C98" s="333"/>
      <c r="D98" s="334"/>
      <c r="E98" s="333"/>
      <c r="F98" s="334"/>
      <c r="G98" s="333"/>
      <c r="H98" s="334"/>
      <c r="I98" s="333"/>
      <c r="J98" s="301"/>
      <c r="K98" s="333"/>
      <c r="L98" s="301"/>
      <c r="M98" s="333"/>
      <c r="N98" s="334"/>
      <c r="O98" s="333"/>
      <c r="P98" s="301"/>
      <c r="Q98" s="333"/>
      <c r="R98" s="301"/>
      <c r="S98" s="333"/>
      <c r="T98" s="334"/>
      <c r="U98" s="333"/>
      <c r="V98" s="301"/>
      <c r="W98" s="333"/>
      <c r="X98" s="301"/>
      <c r="Y98" s="333"/>
      <c r="Z98" s="334"/>
    </row>
    <row r="99" spans="1:26" s="316" customFormat="1" ht="15.75" x14ac:dyDescent="0.25">
      <c r="A99" s="328" t="s">
        <v>201</v>
      </c>
      <c r="B99" s="310"/>
      <c r="C99" s="336">
        <f>SUM(C89:C97)</f>
        <v>1306</v>
      </c>
      <c r="D99" s="334"/>
      <c r="E99" s="336">
        <f>SUM(E89:E97)</f>
        <v>-145</v>
      </c>
      <c r="F99" s="334"/>
      <c r="G99" s="336">
        <f>SUM(G89:G97)</f>
        <v>1161</v>
      </c>
      <c r="H99" s="334"/>
      <c r="I99" s="336">
        <v>2706</v>
      </c>
      <c r="J99" s="301"/>
      <c r="K99" s="336">
        <f>SUM(K89:K97)</f>
        <v>-252</v>
      </c>
      <c r="L99" s="301"/>
      <c r="M99" s="336">
        <f>SUM(M89:M97)</f>
        <v>2454</v>
      </c>
      <c r="N99" s="334"/>
      <c r="O99" s="336">
        <f>SUM(O89:O97)</f>
        <v>4075</v>
      </c>
      <c r="P99" s="301"/>
      <c r="Q99" s="336">
        <f>SUM(Q89:Q97)</f>
        <v>-377</v>
      </c>
      <c r="R99" s="301"/>
      <c r="S99" s="336">
        <f>SUM(S89:S97)</f>
        <v>3698</v>
      </c>
      <c r="T99" s="334"/>
      <c r="U99" s="336">
        <f>SUM(U89:U97)</f>
        <v>5486</v>
      </c>
      <c r="V99" s="301"/>
      <c r="W99" s="336">
        <f>SUM(W89:W97)</f>
        <v>-508</v>
      </c>
      <c r="X99" s="301"/>
      <c r="Y99" s="336">
        <f>SUM(Y89:Y97)</f>
        <v>4978</v>
      </c>
      <c r="Z99" s="334"/>
    </row>
    <row r="100" spans="1:26" s="316" customFormat="1" ht="6" customHeight="1" x14ac:dyDescent="0.25">
      <c r="A100" s="328"/>
      <c r="B100" s="310"/>
      <c r="C100" s="333"/>
      <c r="D100" s="334"/>
      <c r="E100" s="333"/>
      <c r="F100" s="334"/>
      <c r="G100" s="333"/>
      <c r="H100" s="334"/>
      <c r="I100" s="333"/>
      <c r="J100" s="301"/>
      <c r="K100" s="333"/>
      <c r="L100" s="301"/>
      <c r="M100" s="333"/>
      <c r="N100" s="334"/>
      <c r="O100" s="333"/>
      <c r="P100" s="301"/>
      <c r="Q100" s="333"/>
      <c r="R100" s="301"/>
      <c r="S100" s="333"/>
      <c r="T100" s="334"/>
      <c r="U100" s="333"/>
      <c r="V100" s="301"/>
      <c r="W100" s="333"/>
      <c r="X100" s="301"/>
      <c r="Y100" s="333"/>
      <c r="Z100" s="334"/>
    </row>
    <row r="101" spans="1:26" s="316" customFormat="1" ht="15.75" x14ac:dyDescent="0.25">
      <c r="A101" s="335" t="s">
        <v>202</v>
      </c>
      <c r="B101" s="310"/>
      <c r="C101" s="333">
        <v>50</v>
      </c>
      <c r="D101" s="334"/>
      <c r="E101" s="333">
        <v>-64</v>
      </c>
      <c r="F101" s="334"/>
      <c r="G101" s="333">
        <v>-14</v>
      </c>
      <c r="H101" s="334"/>
      <c r="I101" s="333">
        <v>95</v>
      </c>
      <c r="J101" s="301"/>
      <c r="K101" s="333">
        <f>-95-34</f>
        <v>-129</v>
      </c>
      <c r="L101" s="301"/>
      <c r="M101" s="333">
        <v>-34</v>
      </c>
      <c r="N101" s="334"/>
      <c r="O101" s="333">
        <v>80</v>
      </c>
      <c r="P101" s="301"/>
      <c r="Q101" s="333">
        <v>-166</v>
      </c>
      <c r="R101" s="301"/>
      <c r="S101" s="333">
        <v>-86</v>
      </c>
      <c r="T101" s="334"/>
      <c r="U101" s="333">
        <v>-50</v>
      </c>
      <c r="V101" s="301"/>
      <c r="W101" s="333">
        <v>-216</v>
      </c>
      <c r="X101" s="301"/>
      <c r="Y101" s="333">
        <v>-266</v>
      </c>
      <c r="Z101" s="334"/>
    </row>
    <row r="102" spans="1:26" ht="5.0999999999999996" customHeight="1" x14ac:dyDescent="0.25">
      <c r="A102" s="335"/>
      <c r="B102" s="305"/>
      <c r="C102" s="333"/>
      <c r="D102" s="334"/>
      <c r="E102" s="333"/>
      <c r="F102" s="334"/>
      <c r="G102" s="333"/>
      <c r="H102" s="334"/>
      <c r="I102" s="333"/>
      <c r="K102" s="333"/>
      <c r="M102" s="333"/>
      <c r="N102" s="334"/>
      <c r="O102" s="333"/>
      <c r="Q102" s="333"/>
      <c r="S102" s="333"/>
      <c r="T102" s="334"/>
      <c r="U102" s="333"/>
      <c r="V102" s="301"/>
      <c r="W102" s="333"/>
      <c r="X102" s="301"/>
      <c r="Y102" s="333"/>
      <c r="Z102" s="334"/>
    </row>
    <row r="103" spans="1:26" ht="15.75" x14ac:dyDescent="0.25">
      <c r="A103" s="328" t="s">
        <v>203</v>
      </c>
      <c r="B103" s="310"/>
      <c r="C103" s="337">
        <f>SUM(C99:C101)</f>
        <v>1356</v>
      </c>
      <c r="D103" s="338"/>
      <c r="E103" s="337">
        <f>SUM(E99:E101)</f>
        <v>-209</v>
      </c>
      <c r="F103" s="338"/>
      <c r="G103" s="337">
        <f>SUM(G99:G101)</f>
        <v>1147</v>
      </c>
      <c r="H103" s="338"/>
      <c r="I103" s="337">
        <f>SUM(I99:I101)</f>
        <v>2801</v>
      </c>
      <c r="K103" s="337">
        <f>SUM(K99:K101)</f>
        <v>-381</v>
      </c>
      <c r="M103" s="337">
        <f>SUM(M99:M101)</f>
        <v>2420</v>
      </c>
      <c r="N103" s="338"/>
      <c r="O103" s="337">
        <f>SUM(O99:O101)</f>
        <v>4155</v>
      </c>
      <c r="Q103" s="337">
        <f>SUM(Q99:Q101)</f>
        <v>-543</v>
      </c>
      <c r="S103" s="337">
        <f>SUM(S99:S101)</f>
        <v>3612</v>
      </c>
      <c r="T103" s="338"/>
      <c r="U103" s="337">
        <f>SUM(U99:U101)</f>
        <v>5436</v>
      </c>
      <c r="V103" s="301"/>
      <c r="W103" s="337">
        <f>SUM(W99:W101)</f>
        <v>-724</v>
      </c>
      <c r="X103" s="301"/>
      <c r="Y103" s="337">
        <f>SUM(Y99:Y101)</f>
        <v>4712</v>
      </c>
      <c r="Z103" s="338"/>
    </row>
    <row r="104" spans="1:26" ht="5.0999999999999996" customHeight="1" x14ac:dyDescent="0.25">
      <c r="A104" s="335"/>
      <c r="B104" s="310"/>
      <c r="C104" s="339"/>
      <c r="D104" s="338"/>
      <c r="E104" s="339"/>
      <c r="F104" s="338"/>
      <c r="G104" s="339"/>
      <c r="H104" s="338"/>
      <c r="I104" s="339"/>
      <c r="K104" s="339"/>
      <c r="M104" s="339"/>
      <c r="N104" s="338"/>
      <c r="O104" s="339"/>
      <c r="Q104" s="339"/>
      <c r="S104" s="339"/>
      <c r="T104" s="338"/>
      <c r="U104" s="339"/>
      <c r="V104" s="301"/>
      <c r="W104" s="339"/>
      <c r="X104" s="301"/>
      <c r="Y104" s="339"/>
      <c r="Z104" s="338"/>
    </row>
    <row r="105" spans="1:26" ht="15.75" x14ac:dyDescent="0.25">
      <c r="A105" s="321" t="s">
        <v>4</v>
      </c>
      <c r="B105" s="310"/>
      <c r="C105" s="333">
        <v>-93</v>
      </c>
      <c r="D105" s="340"/>
      <c r="E105" s="333">
        <v>0</v>
      </c>
      <c r="F105" s="340"/>
      <c r="G105" s="333">
        <f>SUM(C105,E105)</f>
        <v>-93</v>
      </c>
      <c r="H105" s="340"/>
      <c r="I105" s="333">
        <v>-197</v>
      </c>
      <c r="K105" s="333">
        <v>0</v>
      </c>
      <c r="M105" s="333">
        <f>SUM(I105,K105)</f>
        <v>-197</v>
      </c>
      <c r="N105" s="341"/>
      <c r="O105" s="333">
        <v>-301</v>
      </c>
      <c r="Q105" s="333">
        <v>0</v>
      </c>
      <c r="S105" s="333">
        <f>SUM(O105,Q105)</f>
        <v>-301</v>
      </c>
      <c r="T105" s="341"/>
      <c r="U105" s="333">
        <v>-443</v>
      </c>
      <c r="V105" s="301"/>
      <c r="W105" s="333">
        <v>0</v>
      </c>
      <c r="X105" s="301"/>
      <c r="Y105" s="333">
        <f>SUM(U105,W105)</f>
        <v>-443</v>
      </c>
      <c r="Z105" s="341"/>
    </row>
    <row r="106" spans="1:26" ht="5.0999999999999996" customHeight="1" x14ac:dyDescent="0.25">
      <c r="A106" s="321"/>
      <c r="B106" s="310"/>
      <c r="C106" s="333"/>
      <c r="D106" s="340"/>
      <c r="E106" s="333"/>
      <c r="F106" s="340"/>
      <c r="G106" s="333"/>
      <c r="H106" s="340"/>
      <c r="I106" s="333"/>
      <c r="K106" s="333"/>
      <c r="M106" s="333"/>
      <c r="N106" s="341"/>
      <c r="O106" s="333"/>
      <c r="Q106" s="333"/>
      <c r="S106" s="333"/>
      <c r="T106" s="341"/>
      <c r="U106" s="333"/>
      <c r="V106" s="301"/>
      <c r="W106" s="333"/>
      <c r="X106" s="301"/>
      <c r="Y106" s="333"/>
      <c r="Z106" s="341"/>
    </row>
    <row r="107" spans="1:26" ht="15.75" x14ac:dyDescent="0.25">
      <c r="A107" s="301" t="s">
        <v>204</v>
      </c>
      <c r="B107" s="310"/>
      <c r="C107" s="342">
        <v>3</v>
      </c>
      <c r="D107" s="341"/>
      <c r="E107" s="342">
        <v>0</v>
      </c>
      <c r="F107" s="341"/>
      <c r="G107" s="342">
        <f>SUM(C107,E107)</f>
        <v>3</v>
      </c>
      <c r="H107" s="341"/>
      <c r="I107" s="342">
        <v>5</v>
      </c>
      <c r="K107" s="342">
        <v>0</v>
      </c>
      <c r="M107" s="342">
        <f>SUM(I107,K107)</f>
        <v>5</v>
      </c>
      <c r="N107" s="340"/>
      <c r="O107" s="342">
        <v>6</v>
      </c>
      <c r="Q107" s="342">
        <v>0</v>
      </c>
      <c r="S107" s="342">
        <f>SUM(O107,Q107)</f>
        <v>6</v>
      </c>
      <c r="T107" s="340"/>
      <c r="U107" s="342">
        <v>30</v>
      </c>
      <c r="V107" s="301"/>
      <c r="W107" s="342">
        <v>0</v>
      </c>
      <c r="X107" s="301"/>
      <c r="Y107" s="342">
        <f>SUM(U107,W107)</f>
        <v>30</v>
      </c>
      <c r="Z107" s="340"/>
    </row>
    <row r="108" spans="1:26" ht="5.0999999999999996" customHeight="1" x14ac:dyDescent="0.25">
      <c r="A108" s="301"/>
      <c r="B108" s="310"/>
      <c r="C108" s="333"/>
      <c r="D108" s="341"/>
      <c r="E108" s="333"/>
      <c r="F108" s="341"/>
      <c r="G108" s="333"/>
      <c r="H108" s="341"/>
      <c r="I108" s="333"/>
      <c r="K108" s="333"/>
      <c r="M108" s="333"/>
      <c r="N108" s="340"/>
      <c r="O108" s="333"/>
      <c r="Q108" s="333"/>
      <c r="S108" s="333"/>
      <c r="T108" s="340"/>
      <c r="U108" s="333"/>
      <c r="V108" s="301"/>
      <c r="W108" s="333"/>
      <c r="X108" s="301"/>
      <c r="Y108" s="333"/>
      <c r="Z108" s="340"/>
    </row>
    <row r="109" spans="1:26" ht="15.75" x14ac:dyDescent="0.25">
      <c r="A109" s="301" t="s">
        <v>128</v>
      </c>
      <c r="B109" s="310"/>
      <c r="C109" s="333">
        <f>C103+C105+C107</f>
        <v>1266</v>
      </c>
      <c r="D109" s="341"/>
      <c r="E109" s="333">
        <f>E103+E105+E107</f>
        <v>-209</v>
      </c>
      <c r="F109" s="341"/>
      <c r="G109" s="333">
        <f>G103+G105+G107</f>
        <v>1057</v>
      </c>
      <c r="H109" s="341"/>
      <c r="I109" s="333">
        <f>I103+I105+I107</f>
        <v>2609</v>
      </c>
      <c r="K109" s="333">
        <f>K103+K105+K107</f>
        <v>-381</v>
      </c>
      <c r="M109" s="333">
        <f>M103+M105+M107</f>
        <v>2228</v>
      </c>
      <c r="N109" s="341"/>
      <c r="O109" s="333">
        <f>O103+O105+O107</f>
        <v>3860</v>
      </c>
      <c r="Q109" s="333">
        <f>Q103+Q105+Q107</f>
        <v>-543</v>
      </c>
      <c r="S109" s="333">
        <f>S103+S105+S107</f>
        <v>3317</v>
      </c>
      <c r="T109" s="341"/>
      <c r="U109" s="333">
        <f>U103+U105+U107</f>
        <v>5023</v>
      </c>
      <c r="V109" s="301"/>
      <c r="W109" s="333">
        <f>W103+W105+W107</f>
        <v>-724</v>
      </c>
      <c r="X109" s="301"/>
      <c r="Y109" s="333">
        <f>Y103+Y105+Y107</f>
        <v>4299</v>
      </c>
      <c r="Z109" s="341"/>
    </row>
    <row r="110" spans="1:26" ht="5.0999999999999996" customHeight="1" x14ac:dyDescent="0.25">
      <c r="A110" s="301"/>
      <c r="B110" s="310"/>
      <c r="C110" s="333"/>
      <c r="D110" s="341"/>
      <c r="E110" s="333"/>
      <c r="F110" s="341"/>
      <c r="G110" s="333"/>
      <c r="H110" s="341"/>
      <c r="I110" s="333"/>
      <c r="K110" s="333"/>
      <c r="M110" s="333"/>
      <c r="N110" s="341"/>
      <c r="O110" s="333"/>
      <c r="Q110" s="333"/>
      <c r="S110" s="333"/>
      <c r="T110" s="341"/>
      <c r="U110" s="333"/>
      <c r="V110" s="301"/>
      <c r="W110" s="333"/>
      <c r="X110" s="301"/>
      <c r="Y110" s="333"/>
      <c r="Z110" s="341"/>
    </row>
    <row r="111" spans="1:26" ht="15.75" x14ac:dyDescent="0.25">
      <c r="A111" s="301" t="s">
        <v>205</v>
      </c>
      <c r="B111" s="310"/>
      <c r="C111" s="342">
        <v>-388</v>
      </c>
      <c r="D111" s="341"/>
      <c r="E111" s="342">
        <v>69</v>
      </c>
      <c r="F111" s="341"/>
      <c r="G111" s="342">
        <f>SUM(C111,E111)</f>
        <v>-319</v>
      </c>
      <c r="H111" s="341"/>
      <c r="I111" s="342">
        <v>-802</v>
      </c>
      <c r="K111" s="342">
        <v>127</v>
      </c>
      <c r="M111" s="342">
        <f>SUM(I111,K111)</f>
        <v>-675</v>
      </c>
      <c r="N111" s="341"/>
      <c r="O111" s="342">
        <v>-1188</v>
      </c>
      <c r="Q111" s="342">
        <v>180</v>
      </c>
      <c r="S111" s="342">
        <f>SUM(O111,Q111)</f>
        <v>-1008</v>
      </c>
      <c r="T111" s="341"/>
      <c r="U111" s="342">
        <v>-1418</v>
      </c>
      <c r="V111" s="301"/>
      <c r="W111" s="342">
        <v>245</v>
      </c>
      <c r="X111" s="301"/>
      <c r="Y111" s="342">
        <f>SUM(U111,W111)</f>
        <v>-1173</v>
      </c>
      <c r="Z111" s="341"/>
    </row>
    <row r="112" spans="1:26" ht="5.0999999999999996" customHeight="1" x14ac:dyDescent="0.25">
      <c r="A112" s="301"/>
      <c r="B112" s="310"/>
      <c r="C112" s="333"/>
      <c r="D112" s="341"/>
      <c r="E112" s="333"/>
      <c r="F112" s="341"/>
      <c r="G112" s="333"/>
      <c r="H112" s="341"/>
      <c r="I112" s="333"/>
      <c r="K112" s="333"/>
      <c r="M112" s="333"/>
      <c r="N112" s="341"/>
      <c r="O112" s="333"/>
      <c r="Q112" s="333"/>
      <c r="S112" s="333"/>
      <c r="T112" s="341"/>
      <c r="U112" s="333"/>
      <c r="V112" s="301"/>
      <c r="W112" s="333"/>
      <c r="X112" s="301"/>
      <c r="Y112" s="333"/>
      <c r="Z112" s="341"/>
    </row>
    <row r="113" spans="1:26" ht="15.75" x14ac:dyDescent="0.25">
      <c r="A113" s="301" t="s">
        <v>206</v>
      </c>
      <c r="B113" s="310"/>
      <c r="C113" s="333">
        <f>C109+C111</f>
        <v>878</v>
      </c>
      <c r="D113" s="341"/>
      <c r="E113" s="333">
        <f>E109+E111</f>
        <v>-140</v>
      </c>
      <c r="F113" s="341"/>
      <c r="G113" s="333">
        <f>G109+G111</f>
        <v>738</v>
      </c>
      <c r="H113" s="341"/>
      <c r="I113" s="333">
        <f>I109+I111</f>
        <v>1807</v>
      </c>
      <c r="K113" s="333">
        <f>K109+K111</f>
        <v>-254</v>
      </c>
      <c r="M113" s="333">
        <f>M109+M111</f>
        <v>1553</v>
      </c>
      <c r="N113" s="341"/>
      <c r="O113" s="333">
        <f>O109+O111</f>
        <v>2672</v>
      </c>
      <c r="Q113" s="333">
        <f>Q109+Q111</f>
        <v>-363</v>
      </c>
      <c r="S113" s="333">
        <f>S109+S111</f>
        <v>2309</v>
      </c>
      <c r="T113" s="341"/>
      <c r="U113" s="333">
        <f>U109+U111</f>
        <v>3605</v>
      </c>
      <c r="V113" s="301"/>
      <c r="W113" s="333">
        <f>W109+W111</f>
        <v>-479</v>
      </c>
      <c r="X113" s="301"/>
      <c r="Y113" s="333">
        <f>Y109+Y111</f>
        <v>3126</v>
      </c>
      <c r="Z113" s="341"/>
    </row>
    <row r="114" spans="1:26" ht="5.0999999999999996" customHeight="1" x14ac:dyDescent="0.25">
      <c r="A114" s="301"/>
      <c r="B114" s="310"/>
      <c r="C114" s="333"/>
      <c r="D114" s="341"/>
      <c r="E114" s="333"/>
      <c r="F114" s="341"/>
      <c r="G114" s="333"/>
      <c r="H114" s="341"/>
      <c r="I114" s="333"/>
      <c r="K114" s="333"/>
      <c r="M114" s="333"/>
      <c r="N114" s="341"/>
      <c r="O114" s="333"/>
      <c r="Q114" s="333"/>
      <c r="S114" s="333"/>
      <c r="T114" s="341"/>
      <c r="U114" s="333"/>
      <c r="V114" s="301"/>
      <c r="W114" s="333"/>
      <c r="X114" s="301"/>
      <c r="Y114" s="333"/>
      <c r="Z114" s="341"/>
    </row>
    <row r="115" spans="1:26" ht="15.75" x14ac:dyDescent="0.25">
      <c r="A115" s="301" t="s">
        <v>158</v>
      </c>
      <c r="B115" s="310"/>
      <c r="C115" s="342">
        <v>0</v>
      </c>
      <c r="D115" s="341"/>
      <c r="E115" s="342">
        <v>140</v>
      </c>
      <c r="F115" s="341"/>
      <c r="G115" s="342">
        <f>SUM(C115,E115)</f>
        <v>140</v>
      </c>
      <c r="H115" s="341"/>
      <c r="I115" s="342">
        <v>0</v>
      </c>
      <c r="K115" s="342">
        <v>254</v>
      </c>
      <c r="M115" s="342">
        <f>SUM(I115,K115)</f>
        <v>254</v>
      </c>
      <c r="N115" s="341"/>
      <c r="O115" s="342">
        <v>0</v>
      </c>
      <c r="Q115" s="342">
        <v>363</v>
      </c>
      <c r="S115" s="342">
        <f>SUM(O115,Q115)</f>
        <v>363</v>
      </c>
      <c r="T115" s="341"/>
      <c r="U115" s="342">
        <v>0</v>
      </c>
      <c r="V115" s="301"/>
      <c r="W115" s="342">
        <v>479</v>
      </c>
      <c r="X115" s="301"/>
      <c r="Y115" s="342">
        <f>SUM(U115,W115)</f>
        <v>479</v>
      </c>
      <c r="Z115" s="341"/>
    </row>
    <row r="116" spans="1:26" ht="5.0999999999999996" customHeight="1" x14ac:dyDescent="0.25">
      <c r="A116" s="301"/>
      <c r="B116" s="310"/>
      <c r="C116" s="333"/>
      <c r="D116" s="341"/>
      <c r="E116" s="333"/>
      <c r="F116" s="341"/>
      <c r="G116" s="333"/>
      <c r="H116" s="341"/>
      <c r="I116" s="333"/>
      <c r="K116" s="333"/>
      <c r="M116" s="333"/>
      <c r="N116" s="341"/>
      <c r="O116" s="333"/>
      <c r="Q116" s="333"/>
      <c r="S116" s="333"/>
      <c r="T116" s="341"/>
      <c r="U116" s="333"/>
      <c r="V116" s="301"/>
      <c r="W116" s="333"/>
      <c r="X116" s="301"/>
      <c r="Y116" s="333"/>
      <c r="Z116" s="341"/>
    </row>
    <row r="117" spans="1:26" ht="16.5" thickBot="1" x14ac:dyDescent="0.3">
      <c r="A117" s="310" t="s">
        <v>57</v>
      </c>
      <c r="B117" s="310"/>
      <c r="C117" s="344">
        <f>C113+C115</f>
        <v>878</v>
      </c>
      <c r="D117" s="341"/>
      <c r="E117" s="344">
        <f>E113+E115</f>
        <v>0</v>
      </c>
      <c r="F117" s="341"/>
      <c r="G117" s="344">
        <f>G113+G115</f>
        <v>878</v>
      </c>
      <c r="H117" s="341"/>
      <c r="I117" s="344">
        <f>I113+I115</f>
        <v>1807</v>
      </c>
      <c r="K117" s="344">
        <f>K113+K115</f>
        <v>0</v>
      </c>
      <c r="M117" s="344">
        <f>M113+M115</f>
        <v>1807</v>
      </c>
      <c r="N117" s="341"/>
      <c r="O117" s="344">
        <f>O113+O115</f>
        <v>2672</v>
      </c>
      <c r="Q117" s="344">
        <f>Q113+Q115</f>
        <v>0</v>
      </c>
      <c r="S117" s="344">
        <f>S113+S115</f>
        <v>2672</v>
      </c>
      <c r="T117" s="341"/>
      <c r="U117" s="344">
        <f>U113+U115</f>
        <v>3605</v>
      </c>
      <c r="V117" s="301"/>
      <c r="W117" s="344">
        <f>W113+W115</f>
        <v>0</v>
      </c>
      <c r="X117" s="301"/>
      <c r="Y117" s="344">
        <f>Y113+Y115</f>
        <v>3605</v>
      </c>
      <c r="Z117" s="341"/>
    </row>
    <row r="118" spans="1:26" ht="5.0999999999999996" customHeight="1" thickTop="1" x14ac:dyDescent="0.25">
      <c r="A118" s="310"/>
      <c r="B118" s="310"/>
      <c r="C118" s="345"/>
      <c r="D118" s="341"/>
      <c r="E118" s="345"/>
      <c r="F118" s="341"/>
      <c r="G118" s="345"/>
      <c r="H118" s="341"/>
      <c r="I118" s="345"/>
      <c r="K118" s="345"/>
      <c r="M118" s="345"/>
      <c r="N118" s="341"/>
      <c r="O118" s="345"/>
      <c r="Q118" s="345"/>
      <c r="S118" s="345"/>
      <c r="T118" s="341"/>
      <c r="U118" s="345"/>
      <c r="V118" s="301"/>
      <c r="W118" s="345"/>
      <c r="X118" s="301"/>
      <c r="Y118" s="345"/>
      <c r="Z118" s="341"/>
    </row>
    <row r="119" spans="1:26" ht="16.5" thickBot="1" x14ac:dyDescent="0.3">
      <c r="A119" s="346" t="s">
        <v>207</v>
      </c>
      <c r="B119" s="310"/>
      <c r="C119" s="347">
        <f>-C111/C109</f>
        <v>0.30647709320695105</v>
      </c>
      <c r="D119" s="341"/>
      <c r="E119" s="348"/>
      <c r="F119" s="341"/>
      <c r="G119" s="347">
        <f>-G111/G109</f>
        <v>0.30179754020813626</v>
      </c>
      <c r="H119" s="341"/>
      <c r="I119" s="347">
        <f>-I111/I109</f>
        <v>0.30739747029513226</v>
      </c>
      <c r="J119" s="341"/>
      <c r="K119" s="348"/>
      <c r="L119" s="341"/>
      <c r="M119" s="347">
        <f>-M111/M109</f>
        <v>0.30296229802513464</v>
      </c>
      <c r="N119" s="341"/>
      <c r="O119" s="347">
        <f>-O111/O109</f>
        <v>0.30777202072538862</v>
      </c>
      <c r="P119" s="341"/>
      <c r="Q119" s="348"/>
      <c r="R119" s="341"/>
      <c r="S119" s="347">
        <f>-S111/S109</f>
        <v>0.30388905637624358</v>
      </c>
      <c r="T119" s="341"/>
      <c r="U119" s="347">
        <f>-U111/U109</f>
        <v>0.2823014134979096</v>
      </c>
      <c r="V119" s="341"/>
      <c r="W119" s="348"/>
      <c r="X119" s="341"/>
      <c r="Y119" s="347">
        <f>-Y111/Y109</f>
        <v>0.27285415212840197</v>
      </c>
      <c r="Z119" s="341"/>
    </row>
    <row r="120" spans="1:26" ht="5.0999999999999996" customHeight="1" thickTop="1" x14ac:dyDescent="0.25">
      <c r="A120" s="310"/>
      <c r="B120" s="310"/>
      <c r="C120" s="345"/>
      <c r="D120" s="341"/>
      <c r="E120" s="345"/>
      <c r="F120" s="341"/>
      <c r="G120" s="345"/>
      <c r="H120" s="341"/>
      <c r="I120" s="345"/>
      <c r="K120" s="345"/>
      <c r="M120" s="345"/>
      <c r="N120" s="341"/>
      <c r="O120" s="345"/>
      <c r="Q120" s="345"/>
      <c r="S120" s="345"/>
      <c r="T120" s="341"/>
      <c r="U120" s="345"/>
      <c r="V120" s="301"/>
      <c r="W120" s="345"/>
      <c r="X120" s="301"/>
      <c r="Y120" s="345"/>
      <c r="Z120" s="341"/>
    </row>
    <row r="121" spans="1:26" ht="15.75" x14ac:dyDescent="0.25">
      <c r="A121" s="310" t="s">
        <v>127</v>
      </c>
      <c r="B121" s="310"/>
      <c r="C121" s="345"/>
      <c r="D121" s="341"/>
      <c r="E121" s="345"/>
      <c r="F121" s="341"/>
      <c r="G121" s="345"/>
      <c r="H121" s="341"/>
      <c r="I121" s="345"/>
      <c r="K121" s="345"/>
      <c r="M121" s="345"/>
      <c r="N121" s="341"/>
      <c r="O121" s="345"/>
      <c r="Q121" s="345"/>
      <c r="S121" s="345"/>
      <c r="T121" s="341"/>
      <c r="U121" s="345"/>
      <c r="V121" s="301"/>
      <c r="W121" s="345"/>
      <c r="X121" s="301"/>
      <c r="Y121" s="345"/>
      <c r="Z121" s="341"/>
    </row>
    <row r="122" spans="1:26" ht="5.0999999999999996" customHeight="1" x14ac:dyDescent="0.25">
      <c r="A122" s="310"/>
      <c r="B122" s="310"/>
      <c r="C122" s="345"/>
      <c r="D122" s="341"/>
      <c r="E122" s="345"/>
      <c r="F122" s="341"/>
      <c r="G122" s="345"/>
      <c r="H122" s="341"/>
      <c r="I122" s="345"/>
      <c r="K122" s="345"/>
      <c r="M122" s="345"/>
      <c r="N122" s="341"/>
      <c r="O122" s="345"/>
      <c r="Q122" s="345"/>
      <c r="S122" s="345"/>
      <c r="T122" s="341"/>
      <c r="U122" s="345"/>
      <c r="V122" s="301"/>
      <c r="W122" s="345"/>
      <c r="X122" s="301"/>
      <c r="Y122" s="345"/>
      <c r="Z122" s="341"/>
    </row>
    <row r="123" spans="1:26" ht="15.75" x14ac:dyDescent="0.25">
      <c r="A123" s="301" t="s">
        <v>208</v>
      </c>
      <c r="B123" s="310"/>
      <c r="C123" s="345"/>
      <c r="D123" s="341"/>
      <c r="E123" s="345"/>
      <c r="F123" s="341"/>
      <c r="G123" s="345"/>
      <c r="H123" s="341"/>
      <c r="I123" s="345"/>
      <c r="K123" s="345"/>
      <c r="M123" s="345"/>
      <c r="N123" s="341"/>
      <c r="O123" s="345"/>
      <c r="Q123" s="345"/>
      <c r="S123" s="345"/>
      <c r="T123" s="341"/>
      <c r="U123" s="345"/>
      <c r="V123" s="301"/>
      <c r="W123" s="345"/>
      <c r="X123" s="301"/>
      <c r="Y123" s="345"/>
      <c r="Z123" s="341"/>
    </row>
    <row r="124" spans="1:26" ht="5.0999999999999996" customHeight="1" x14ac:dyDescent="0.25">
      <c r="A124" s="301"/>
      <c r="B124" s="310"/>
      <c r="C124" s="345"/>
      <c r="D124" s="341"/>
      <c r="E124" s="345"/>
      <c r="F124" s="341"/>
      <c r="G124" s="345"/>
      <c r="H124" s="341"/>
      <c r="I124" s="345"/>
      <c r="K124" s="345"/>
      <c r="M124" s="345"/>
      <c r="N124" s="341"/>
      <c r="O124" s="345"/>
      <c r="Q124" s="345"/>
      <c r="S124" s="345"/>
      <c r="T124" s="341"/>
      <c r="U124" s="345"/>
      <c r="V124" s="301"/>
      <c r="W124" s="345"/>
      <c r="X124" s="301"/>
      <c r="Y124" s="345"/>
      <c r="Z124" s="341"/>
    </row>
    <row r="125" spans="1:26" ht="15.75" x14ac:dyDescent="0.25">
      <c r="A125" s="346" t="s">
        <v>209</v>
      </c>
      <c r="B125" s="310"/>
      <c r="C125" s="349">
        <f>C113/315.4</f>
        <v>2.7837666455294867</v>
      </c>
      <c r="D125" s="341"/>
      <c r="E125" s="349">
        <f>+G125-C125</f>
        <v>-0.44388078630310757</v>
      </c>
      <c r="F125" s="341"/>
      <c r="G125" s="349">
        <f>G113/315.4</f>
        <v>2.3398858592263792</v>
      </c>
      <c r="H125" s="341"/>
      <c r="I125" s="349">
        <f>I113/313.7</f>
        <v>5.7602805227924767</v>
      </c>
      <c r="K125" s="349">
        <v>-0.81</v>
      </c>
      <c r="M125" s="349">
        <v>4.95</v>
      </c>
      <c r="N125" s="341"/>
      <c r="O125" s="349">
        <v>8.57</v>
      </c>
      <c r="Q125" s="349">
        <f>+S125-O125</f>
        <v>-1.1600000000000001</v>
      </c>
      <c r="S125" s="349">
        <v>7.41</v>
      </c>
      <c r="T125" s="341"/>
      <c r="U125" s="349">
        <v>11.62</v>
      </c>
      <c r="V125" s="301"/>
      <c r="W125" s="349">
        <v>-1.55</v>
      </c>
      <c r="X125" s="301"/>
      <c r="Y125" s="349">
        <f>Y113/310.3</f>
        <v>10.074121817595875</v>
      </c>
      <c r="Z125" s="341"/>
    </row>
    <row r="126" spans="1:26" ht="5.0999999999999996" customHeight="1" x14ac:dyDescent="0.25">
      <c r="A126" s="346"/>
      <c r="B126" s="310"/>
      <c r="C126" s="351"/>
      <c r="D126" s="341"/>
      <c r="E126" s="351"/>
      <c r="F126" s="341"/>
      <c r="G126" s="351"/>
      <c r="H126" s="341"/>
      <c r="I126" s="351"/>
      <c r="K126" s="351"/>
      <c r="M126" s="351"/>
      <c r="N126" s="341"/>
      <c r="O126" s="351"/>
      <c r="Q126" s="351"/>
      <c r="S126" s="351"/>
      <c r="T126" s="341"/>
      <c r="U126" s="351"/>
      <c r="V126" s="301"/>
      <c r="W126" s="351"/>
      <c r="X126" s="301"/>
      <c r="Y126" s="351"/>
      <c r="Z126" s="341"/>
    </row>
    <row r="127" spans="1:26" ht="15.75" x14ac:dyDescent="0.25">
      <c r="A127" s="346" t="s">
        <v>210</v>
      </c>
      <c r="B127" s="310"/>
      <c r="C127" s="353">
        <v>0</v>
      </c>
      <c r="D127" s="341"/>
      <c r="E127" s="353">
        <f>+G127-C127</f>
        <v>0.44388078630310718</v>
      </c>
      <c r="F127" s="341"/>
      <c r="G127" s="353">
        <f>G115/315.4</f>
        <v>0.44388078630310718</v>
      </c>
      <c r="H127" s="341"/>
      <c r="I127" s="353">
        <v>0</v>
      </c>
      <c r="K127" s="353">
        <f>+M127-I127</f>
        <v>0.81</v>
      </c>
      <c r="M127" s="353">
        <v>0.81</v>
      </c>
      <c r="N127" s="341"/>
      <c r="O127" s="353">
        <v>0</v>
      </c>
      <c r="Q127" s="353">
        <f>+S127-O127</f>
        <v>1.1599999999999999</v>
      </c>
      <c r="S127" s="353">
        <v>1.1599999999999999</v>
      </c>
      <c r="T127" s="341"/>
      <c r="U127" s="353">
        <v>0</v>
      </c>
      <c r="V127" s="301"/>
      <c r="W127" s="353">
        <v>1.55</v>
      </c>
      <c r="X127" s="301"/>
      <c r="Y127" s="353">
        <f>(Y115/310.3)+0.01</f>
        <v>1.5536674186271351</v>
      </c>
      <c r="Z127" s="341"/>
    </row>
    <row r="128" spans="1:26" ht="5.0999999999999996" customHeight="1" x14ac:dyDescent="0.25">
      <c r="A128" s="346"/>
      <c r="B128" s="310"/>
      <c r="C128" s="351"/>
      <c r="D128" s="341"/>
      <c r="E128" s="351"/>
      <c r="F128" s="341"/>
      <c r="G128" s="351"/>
      <c r="H128" s="341"/>
      <c r="I128" s="351"/>
      <c r="K128" s="351"/>
      <c r="M128" s="351"/>
      <c r="N128" s="341"/>
      <c r="O128" s="351"/>
      <c r="Q128" s="351"/>
      <c r="S128" s="351"/>
      <c r="T128" s="341"/>
      <c r="U128" s="351"/>
      <c r="V128" s="301"/>
      <c r="W128" s="351"/>
      <c r="X128" s="301"/>
      <c r="Y128" s="351"/>
      <c r="Z128" s="341"/>
    </row>
    <row r="129" spans="1:26" ht="16.5" thickBot="1" x14ac:dyDescent="0.3">
      <c r="A129" s="355" t="s">
        <v>211</v>
      </c>
      <c r="B129" s="310"/>
      <c r="C129" s="356">
        <f>C125+C127</f>
        <v>2.7837666455294867</v>
      </c>
      <c r="D129" s="341"/>
      <c r="E129" s="356">
        <f>E125+E127</f>
        <v>0</v>
      </c>
      <c r="F129" s="341"/>
      <c r="G129" s="356">
        <f>G125+G127</f>
        <v>2.7837666455294863</v>
      </c>
      <c r="H129" s="341"/>
      <c r="I129" s="356">
        <f>I125+I127</f>
        <v>5.7602805227924767</v>
      </c>
      <c r="K129" s="356">
        <f>K125+K127</f>
        <v>0</v>
      </c>
      <c r="M129" s="356">
        <f>M125+M127</f>
        <v>5.76</v>
      </c>
      <c r="N129" s="341"/>
      <c r="O129" s="356">
        <f>O125+O127</f>
        <v>8.57</v>
      </c>
      <c r="Q129" s="356">
        <f>Q125+Q127</f>
        <v>0</v>
      </c>
      <c r="S129" s="356">
        <f>S125+S127</f>
        <v>8.57</v>
      </c>
      <c r="T129" s="341"/>
      <c r="U129" s="356">
        <f>U125+U127</f>
        <v>11.62</v>
      </c>
      <c r="V129" s="301"/>
      <c r="W129" s="356">
        <f>W125+W127</f>
        <v>0</v>
      </c>
      <c r="X129" s="301"/>
      <c r="Y129" s="356">
        <f>Y125+Y127-0.01</f>
        <v>11.617789236223011</v>
      </c>
      <c r="Z129" s="341"/>
    </row>
    <row r="130" spans="1:26" ht="5.0999999999999996" customHeight="1" thickTop="1" x14ac:dyDescent="0.25">
      <c r="A130" s="310"/>
      <c r="B130" s="310"/>
      <c r="C130" s="351"/>
      <c r="D130" s="341"/>
      <c r="E130" s="351"/>
      <c r="F130" s="341"/>
      <c r="G130" s="351"/>
      <c r="H130" s="341"/>
      <c r="I130" s="351"/>
      <c r="K130" s="351"/>
      <c r="M130" s="351"/>
      <c r="N130" s="341"/>
      <c r="O130" s="351"/>
      <c r="Q130" s="351"/>
      <c r="S130" s="351"/>
      <c r="T130" s="341"/>
      <c r="U130" s="351"/>
      <c r="V130" s="301"/>
      <c r="W130" s="351"/>
      <c r="X130" s="301"/>
      <c r="Y130" s="351"/>
      <c r="Z130" s="341"/>
    </row>
    <row r="131" spans="1:26" ht="15.75" x14ac:dyDescent="0.25">
      <c r="A131" s="355" t="s">
        <v>212</v>
      </c>
      <c r="B131" s="310"/>
      <c r="C131" s="351"/>
      <c r="D131" s="341"/>
      <c r="E131" s="351"/>
      <c r="F131" s="341"/>
      <c r="G131" s="351"/>
      <c r="H131" s="341"/>
      <c r="I131" s="351"/>
      <c r="K131" s="351"/>
      <c r="M131" s="351"/>
      <c r="N131" s="341"/>
      <c r="O131" s="351"/>
      <c r="Q131" s="351"/>
      <c r="S131" s="351"/>
      <c r="T131" s="341"/>
      <c r="U131" s="351"/>
      <c r="V131" s="301"/>
      <c r="W131" s="351"/>
      <c r="X131" s="301"/>
      <c r="Y131" s="351"/>
      <c r="Z131" s="341"/>
    </row>
    <row r="132" spans="1:26" ht="5.0999999999999996" customHeight="1" x14ac:dyDescent="0.25">
      <c r="A132" s="355"/>
      <c r="B132" s="310"/>
      <c r="C132" s="351"/>
      <c r="D132" s="341"/>
      <c r="E132" s="351"/>
      <c r="F132" s="341"/>
      <c r="G132" s="351"/>
      <c r="H132" s="341"/>
      <c r="I132" s="351"/>
      <c r="K132" s="351"/>
      <c r="M132" s="351"/>
      <c r="N132" s="341"/>
      <c r="O132" s="351"/>
      <c r="Q132" s="351"/>
      <c r="S132" s="351"/>
      <c r="T132" s="341"/>
      <c r="U132" s="351"/>
      <c r="V132" s="301"/>
      <c r="W132" s="351"/>
      <c r="X132" s="301"/>
      <c r="Y132" s="351"/>
      <c r="Z132" s="341"/>
    </row>
    <row r="133" spans="1:26" ht="15.75" x14ac:dyDescent="0.25">
      <c r="A133" s="346" t="s">
        <v>209</v>
      </c>
      <c r="B133" s="310"/>
      <c r="C133" s="349">
        <f>C113/320.2</f>
        <v>2.7420362273579015</v>
      </c>
      <c r="D133" s="341"/>
      <c r="E133" s="349">
        <f>+G133-C133</f>
        <v>-0.43722673329169304</v>
      </c>
      <c r="F133" s="341"/>
      <c r="G133" s="349">
        <f>G113/320.2</f>
        <v>2.3048094940662085</v>
      </c>
      <c r="H133" s="341"/>
      <c r="I133" s="349">
        <f>I117/318.2</f>
        <v>5.6788183532369585</v>
      </c>
      <c r="K133" s="349">
        <v>-0.8</v>
      </c>
      <c r="M133" s="349">
        <v>4.88</v>
      </c>
      <c r="N133" s="341"/>
      <c r="O133" s="349">
        <v>8.4499999999999993</v>
      </c>
      <c r="Q133" s="349">
        <f>+S133-O133</f>
        <v>-1.1499999999999995</v>
      </c>
      <c r="S133" s="349">
        <v>7.3</v>
      </c>
      <c r="T133" s="341"/>
      <c r="U133" s="349">
        <v>11.46</v>
      </c>
      <c r="V133" s="301"/>
      <c r="W133" s="349">
        <v>-1.53</v>
      </c>
      <c r="X133" s="301"/>
      <c r="Y133" s="349">
        <f>Y113/314.7</f>
        <v>9.933269780743565</v>
      </c>
      <c r="Z133" s="341"/>
    </row>
    <row r="134" spans="1:26" ht="5.0999999999999996" customHeight="1" x14ac:dyDescent="0.25">
      <c r="A134" s="346"/>
      <c r="B134" s="310"/>
      <c r="C134" s="351"/>
      <c r="D134" s="341"/>
      <c r="E134" s="351"/>
      <c r="F134" s="341"/>
      <c r="G134" s="351"/>
      <c r="H134" s="341"/>
      <c r="I134" s="351"/>
      <c r="K134" s="351"/>
      <c r="M134" s="351"/>
      <c r="N134" s="341"/>
      <c r="O134" s="351"/>
      <c r="Q134" s="351"/>
      <c r="S134" s="351"/>
      <c r="T134" s="341"/>
      <c r="U134" s="351"/>
      <c r="V134" s="301"/>
      <c r="W134" s="351"/>
      <c r="X134" s="301"/>
      <c r="Y134" s="351"/>
      <c r="Z134" s="341"/>
    </row>
    <row r="135" spans="1:26" ht="15.75" x14ac:dyDescent="0.25">
      <c r="A135" s="346" t="s">
        <v>210</v>
      </c>
      <c r="B135" s="310"/>
      <c r="C135" s="353">
        <v>0</v>
      </c>
      <c r="D135" s="341"/>
      <c r="E135" s="353">
        <f>+G135-C135</f>
        <v>0.4372267332916927</v>
      </c>
      <c r="F135" s="341"/>
      <c r="G135" s="353">
        <f>G115/320.2</f>
        <v>0.4372267332916927</v>
      </c>
      <c r="H135" s="341"/>
      <c r="I135" s="353">
        <v>0</v>
      </c>
      <c r="K135" s="353">
        <f>+M135-I135</f>
        <v>0.8</v>
      </c>
      <c r="M135" s="353">
        <v>0.8</v>
      </c>
      <c r="N135" s="341"/>
      <c r="O135" s="353">
        <v>0</v>
      </c>
      <c r="Q135" s="353">
        <f>+S135-O135</f>
        <v>1.1499999999999999</v>
      </c>
      <c r="S135" s="353">
        <v>1.1499999999999999</v>
      </c>
      <c r="T135" s="341"/>
      <c r="U135" s="353">
        <v>0</v>
      </c>
      <c r="V135" s="301"/>
      <c r="W135" s="353">
        <v>1.53</v>
      </c>
      <c r="X135" s="301"/>
      <c r="Y135" s="353">
        <f>(Y115/314.7)+0.01</f>
        <v>1.5320845249443915</v>
      </c>
      <c r="Z135" s="341"/>
    </row>
    <row r="136" spans="1:26" ht="5.0999999999999996" customHeight="1" x14ac:dyDescent="0.25">
      <c r="A136" s="346"/>
      <c r="B136" s="310"/>
      <c r="C136" s="351"/>
      <c r="D136" s="341"/>
      <c r="E136" s="351"/>
      <c r="F136" s="341"/>
      <c r="G136" s="351"/>
      <c r="H136" s="341"/>
      <c r="I136" s="351"/>
      <c r="K136" s="351"/>
      <c r="M136" s="351"/>
      <c r="N136" s="341"/>
      <c r="O136" s="351"/>
      <c r="Q136" s="351"/>
      <c r="S136" s="351"/>
      <c r="T136" s="341"/>
      <c r="U136" s="351"/>
      <c r="V136" s="301"/>
      <c r="W136" s="351"/>
      <c r="X136" s="301"/>
      <c r="Y136" s="351"/>
      <c r="Z136" s="341"/>
    </row>
    <row r="137" spans="1:26" ht="16.5" thickBot="1" x14ac:dyDescent="0.3">
      <c r="A137" s="355" t="s">
        <v>213</v>
      </c>
      <c r="B137" s="310"/>
      <c r="C137" s="356">
        <f>C133+C135</f>
        <v>2.7420362273579015</v>
      </c>
      <c r="D137" s="341"/>
      <c r="E137" s="356">
        <f>E133+E135</f>
        <v>0</v>
      </c>
      <c r="F137" s="341"/>
      <c r="G137" s="356">
        <f>G133+G135</f>
        <v>2.7420362273579011</v>
      </c>
      <c r="H137" s="341"/>
      <c r="I137" s="356">
        <f>I133+I135</f>
        <v>5.6788183532369585</v>
      </c>
      <c r="K137" s="356">
        <f>K133+K135</f>
        <v>0</v>
      </c>
      <c r="M137" s="356">
        <f>M133+M135</f>
        <v>5.68</v>
      </c>
      <c r="N137" s="341"/>
      <c r="O137" s="356">
        <f>O133+O135</f>
        <v>8.4499999999999993</v>
      </c>
      <c r="Q137" s="356">
        <f>Q133+Q135</f>
        <v>0</v>
      </c>
      <c r="S137" s="356">
        <f>S133+S135</f>
        <v>8.4499999999999993</v>
      </c>
      <c r="T137" s="341"/>
      <c r="U137" s="356">
        <f>U133+U135</f>
        <v>11.46</v>
      </c>
      <c r="V137" s="301"/>
      <c r="W137" s="356">
        <f>W133+W135</f>
        <v>0</v>
      </c>
      <c r="X137" s="301"/>
      <c r="Y137" s="356">
        <f>Y133+Y135-0.01</f>
        <v>11.455354305687957</v>
      </c>
      <c r="Z137" s="341"/>
    </row>
    <row r="138" spans="1:26" ht="16.5" thickTop="1" x14ac:dyDescent="0.25">
      <c r="C138" s="360"/>
      <c r="D138" s="361"/>
      <c r="E138" s="360"/>
      <c r="F138" s="361"/>
      <c r="G138" s="360"/>
    </row>
    <row r="146" spans="9:9" x14ac:dyDescent="0.2">
      <c r="I146" s="376"/>
    </row>
  </sheetData>
  <mergeCells count="8">
    <mergeCell ref="C6:G6"/>
    <mergeCell ref="I6:M6"/>
    <mergeCell ref="O6:S6"/>
    <mergeCell ref="U6:Y6"/>
    <mergeCell ref="C74:G74"/>
    <mergeCell ref="I74:M74"/>
    <mergeCell ref="O74:S74"/>
    <mergeCell ref="U74:Y74"/>
  </mergeCells>
  <printOptions horizontalCentered="1"/>
  <pageMargins left="0.16" right="0.16" top="0.27" bottom="0.33" header="0.28999999999999998" footer="0.16"/>
  <pageSetup scale="38" orientation="landscape" r:id="rId1"/>
  <headerFooter>
    <oddFooter>&amp;C&amp;14Table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43"/>
  <sheetViews>
    <sheetView view="pageBreakPreview" topLeftCell="A73" zoomScale="60" zoomScaleNormal="60" workbookViewId="0">
      <selection activeCell="AE100" sqref="AE100"/>
    </sheetView>
  </sheetViews>
  <sheetFormatPr defaultColWidth="8.88671875" defaultRowHeight="15" x14ac:dyDescent="0.2"/>
  <cols>
    <col min="1" max="1" width="26.5546875" style="312" customWidth="1"/>
    <col min="2" max="2" width="23.44140625" style="312" customWidth="1"/>
    <col min="3" max="3" width="2.6640625" style="312" customWidth="1"/>
    <col min="4" max="4" width="13.88671875" style="312" customWidth="1"/>
    <col min="5" max="5" width="2.5546875" style="312" customWidth="1"/>
    <col min="6" max="6" width="16.44140625" style="312" customWidth="1"/>
    <col min="7" max="7" width="2.5546875" style="312" customWidth="1"/>
    <col min="8" max="8" width="13.88671875" style="312" customWidth="1"/>
    <col min="9" max="9" width="3" style="312" customWidth="1"/>
    <col min="10" max="10" width="13.88671875" style="312" customWidth="1"/>
    <col min="11" max="11" width="2.5546875" style="312" customWidth="1"/>
    <col min="12" max="12" width="16.44140625" style="312" customWidth="1"/>
    <col min="13" max="13" width="2.5546875" style="312" customWidth="1"/>
    <col min="14" max="14" width="13.88671875" style="312" customWidth="1"/>
    <col min="15" max="15" width="2.21875" style="312" customWidth="1"/>
    <col min="16" max="16" width="13" style="312" customWidth="1"/>
    <col min="17" max="17" width="1.6640625" style="312" customWidth="1"/>
    <col min="18" max="18" width="16.5546875" style="312" customWidth="1"/>
    <col min="19" max="19" width="1.109375" style="312" customWidth="1"/>
    <col min="20" max="20" width="11.21875" style="312" bestFit="1" customWidth="1"/>
    <col min="21" max="21" width="1.77734375" style="312" customWidth="1"/>
    <col min="22" max="22" width="12.33203125" style="312" bestFit="1" customWidth="1"/>
    <col min="23" max="23" width="1.88671875" style="312" customWidth="1"/>
    <col min="24" max="24" width="14.77734375" style="312" customWidth="1"/>
    <col min="25" max="25" width="1" style="312" customWidth="1"/>
    <col min="26" max="26" width="12.33203125" style="312" bestFit="1" customWidth="1"/>
    <col min="27" max="214" width="8.88671875" style="312"/>
    <col min="215" max="215" width="17.33203125" style="312" customWidth="1"/>
    <col min="216" max="216" width="20.88671875" style="312" customWidth="1"/>
    <col min="217" max="217" width="10.77734375" style="312" customWidth="1"/>
    <col min="218" max="218" width="19" style="312" customWidth="1"/>
    <col min="219" max="219" width="3.77734375" style="312" customWidth="1"/>
    <col min="220" max="220" width="19" style="312" customWidth="1"/>
    <col min="221" max="221" width="3.77734375" style="312" customWidth="1"/>
    <col min="222" max="222" width="19" style="312" customWidth="1"/>
    <col min="223" max="223" width="3.77734375" style="312" customWidth="1"/>
    <col min="224" max="224" width="19" style="312" customWidth="1"/>
    <col min="225" max="225" width="8.88671875" style="312"/>
    <col min="226" max="226" width="19" style="312" customWidth="1"/>
    <col min="227" max="227" width="3.77734375" style="312" customWidth="1"/>
    <col min="228" max="228" width="19" style="312" customWidth="1"/>
    <col min="229" max="470" width="8.88671875" style="312"/>
    <col min="471" max="471" width="17.33203125" style="312" customWidth="1"/>
    <col min="472" max="472" width="20.88671875" style="312" customWidth="1"/>
    <col min="473" max="473" width="10.77734375" style="312" customWidth="1"/>
    <col min="474" max="474" width="19" style="312" customWidth="1"/>
    <col min="475" max="475" width="3.77734375" style="312" customWidth="1"/>
    <col min="476" max="476" width="19" style="312" customWidth="1"/>
    <col min="477" max="477" width="3.77734375" style="312" customWidth="1"/>
    <col min="478" max="478" width="19" style="312" customWidth="1"/>
    <col min="479" max="479" width="3.77734375" style="312" customWidth="1"/>
    <col min="480" max="480" width="19" style="312" customWidth="1"/>
    <col min="481" max="481" width="8.88671875" style="312"/>
    <col min="482" max="482" width="19" style="312" customWidth="1"/>
    <col min="483" max="483" width="3.77734375" style="312" customWidth="1"/>
    <col min="484" max="484" width="19" style="312" customWidth="1"/>
    <col min="485" max="726" width="8.88671875" style="312"/>
    <col min="727" max="727" width="17.33203125" style="312" customWidth="1"/>
    <col min="728" max="728" width="20.88671875" style="312" customWidth="1"/>
    <col min="729" max="729" width="10.77734375" style="312" customWidth="1"/>
    <col min="730" max="730" width="19" style="312" customWidth="1"/>
    <col min="731" max="731" width="3.77734375" style="312" customWidth="1"/>
    <col min="732" max="732" width="19" style="312" customWidth="1"/>
    <col min="733" max="733" width="3.77734375" style="312" customWidth="1"/>
    <col min="734" max="734" width="19" style="312" customWidth="1"/>
    <col min="735" max="735" width="3.77734375" style="312" customWidth="1"/>
    <col min="736" max="736" width="19" style="312" customWidth="1"/>
    <col min="737" max="737" width="8.88671875" style="312"/>
    <col min="738" max="738" width="19" style="312" customWidth="1"/>
    <col min="739" max="739" width="3.77734375" style="312" customWidth="1"/>
    <col min="740" max="740" width="19" style="312" customWidth="1"/>
    <col min="741" max="982" width="8.88671875" style="312"/>
    <col min="983" max="983" width="17.33203125" style="312" customWidth="1"/>
    <col min="984" max="984" width="20.88671875" style="312" customWidth="1"/>
    <col min="985" max="985" width="10.77734375" style="312" customWidth="1"/>
    <col min="986" max="986" width="19" style="312" customWidth="1"/>
    <col min="987" max="987" width="3.77734375" style="312" customWidth="1"/>
    <col min="988" max="988" width="19" style="312" customWidth="1"/>
    <col min="989" max="989" width="3.77734375" style="312" customWidth="1"/>
    <col min="990" max="990" width="19" style="312" customWidth="1"/>
    <col min="991" max="991" width="3.77734375" style="312" customWidth="1"/>
    <col min="992" max="992" width="19" style="312" customWidth="1"/>
    <col min="993" max="993" width="8.88671875" style="312"/>
    <col min="994" max="994" width="19" style="312" customWidth="1"/>
    <col min="995" max="995" width="3.77734375" style="312" customWidth="1"/>
    <col min="996" max="996" width="19" style="312" customWidth="1"/>
    <col min="997" max="1238" width="8.88671875" style="312"/>
    <col min="1239" max="1239" width="17.33203125" style="312" customWidth="1"/>
    <col min="1240" max="1240" width="20.88671875" style="312" customWidth="1"/>
    <col min="1241" max="1241" width="10.77734375" style="312" customWidth="1"/>
    <col min="1242" max="1242" width="19" style="312" customWidth="1"/>
    <col min="1243" max="1243" width="3.77734375" style="312" customWidth="1"/>
    <col min="1244" max="1244" width="19" style="312" customWidth="1"/>
    <col min="1245" max="1245" width="3.77734375" style="312" customWidth="1"/>
    <col min="1246" max="1246" width="19" style="312" customWidth="1"/>
    <col min="1247" max="1247" width="3.77734375" style="312" customWidth="1"/>
    <col min="1248" max="1248" width="19" style="312" customWidth="1"/>
    <col min="1249" max="1249" width="8.88671875" style="312"/>
    <col min="1250" max="1250" width="19" style="312" customWidth="1"/>
    <col min="1251" max="1251" width="3.77734375" style="312" customWidth="1"/>
    <col min="1252" max="1252" width="19" style="312" customWidth="1"/>
    <col min="1253" max="1494" width="8.88671875" style="312"/>
    <col min="1495" max="1495" width="17.33203125" style="312" customWidth="1"/>
    <col min="1496" max="1496" width="20.88671875" style="312" customWidth="1"/>
    <col min="1497" max="1497" width="10.77734375" style="312" customWidth="1"/>
    <col min="1498" max="1498" width="19" style="312" customWidth="1"/>
    <col min="1499" max="1499" width="3.77734375" style="312" customWidth="1"/>
    <col min="1500" max="1500" width="19" style="312" customWidth="1"/>
    <col min="1501" max="1501" width="3.77734375" style="312" customWidth="1"/>
    <col min="1502" max="1502" width="19" style="312" customWidth="1"/>
    <col min="1503" max="1503" width="3.77734375" style="312" customWidth="1"/>
    <col min="1504" max="1504" width="19" style="312" customWidth="1"/>
    <col min="1505" max="1505" width="8.88671875" style="312"/>
    <col min="1506" max="1506" width="19" style="312" customWidth="1"/>
    <col min="1507" max="1507" width="3.77734375" style="312" customWidth="1"/>
    <col min="1508" max="1508" width="19" style="312" customWidth="1"/>
    <col min="1509" max="1750" width="8.88671875" style="312"/>
    <col min="1751" max="1751" width="17.33203125" style="312" customWidth="1"/>
    <col min="1752" max="1752" width="20.88671875" style="312" customWidth="1"/>
    <col min="1753" max="1753" width="10.77734375" style="312" customWidth="1"/>
    <col min="1754" max="1754" width="19" style="312" customWidth="1"/>
    <col min="1755" max="1755" width="3.77734375" style="312" customWidth="1"/>
    <col min="1756" max="1756" width="19" style="312" customWidth="1"/>
    <col min="1757" max="1757" width="3.77734375" style="312" customWidth="1"/>
    <col min="1758" max="1758" width="19" style="312" customWidth="1"/>
    <col min="1759" max="1759" width="3.77734375" style="312" customWidth="1"/>
    <col min="1760" max="1760" width="19" style="312" customWidth="1"/>
    <col min="1761" max="1761" width="8.88671875" style="312"/>
    <col min="1762" max="1762" width="19" style="312" customWidth="1"/>
    <col min="1763" max="1763" width="3.77734375" style="312" customWidth="1"/>
    <col min="1764" max="1764" width="19" style="312" customWidth="1"/>
    <col min="1765" max="2006" width="8.88671875" style="312"/>
    <col min="2007" max="2007" width="17.33203125" style="312" customWidth="1"/>
    <col min="2008" max="2008" width="20.88671875" style="312" customWidth="1"/>
    <col min="2009" max="2009" width="10.77734375" style="312" customWidth="1"/>
    <col min="2010" max="2010" width="19" style="312" customWidth="1"/>
    <col min="2011" max="2011" width="3.77734375" style="312" customWidth="1"/>
    <col min="2012" max="2012" width="19" style="312" customWidth="1"/>
    <col min="2013" max="2013" width="3.77734375" style="312" customWidth="1"/>
    <col min="2014" max="2014" width="19" style="312" customWidth="1"/>
    <col min="2015" max="2015" width="3.77734375" style="312" customWidth="1"/>
    <col min="2016" max="2016" width="19" style="312" customWidth="1"/>
    <col min="2017" max="2017" width="8.88671875" style="312"/>
    <col min="2018" max="2018" width="19" style="312" customWidth="1"/>
    <col min="2019" max="2019" width="3.77734375" style="312" customWidth="1"/>
    <col min="2020" max="2020" width="19" style="312" customWidth="1"/>
    <col min="2021" max="2262" width="8.88671875" style="312"/>
    <col min="2263" max="2263" width="17.33203125" style="312" customWidth="1"/>
    <col min="2264" max="2264" width="20.88671875" style="312" customWidth="1"/>
    <col min="2265" max="2265" width="10.77734375" style="312" customWidth="1"/>
    <col min="2266" max="2266" width="19" style="312" customWidth="1"/>
    <col min="2267" max="2267" width="3.77734375" style="312" customWidth="1"/>
    <col min="2268" max="2268" width="19" style="312" customWidth="1"/>
    <col min="2269" max="2269" width="3.77734375" style="312" customWidth="1"/>
    <col min="2270" max="2270" width="19" style="312" customWidth="1"/>
    <col min="2271" max="2271" width="3.77734375" style="312" customWidth="1"/>
    <col min="2272" max="2272" width="19" style="312" customWidth="1"/>
    <col min="2273" max="2273" width="8.88671875" style="312"/>
    <col min="2274" max="2274" width="19" style="312" customWidth="1"/>
    <col min="2275" max="2275" width="3.77734375" style="312" customWidth="1"/>
    <col min="2276" max="2276" width="19" style="312" customWidth="1"/>
    <col min="2277" max="2518" width="8.88671875" style="312"/>
    <col min="2519" max="2519" width="17.33203125" style="312" customWidth="1"/>
    <col min="2520" max="2520" width="20.88671875" style="312" customWidth="1"/>
    <col min="2521" max="2521" width="10.77734375" style="312" customWidth="1"/>
    <col min="2522" max="2522" width="19" style="312" customWidth="1"/>
    <col min="2523" max="2523" width="3.77734375" style="312" customWidth="1"/>
    <col min="2524" max="2524" width="19" style="312" customWidth="1"/>
    <col min="2525" max="2525" width="3.77734375" style="312" customWidth="1"/>
    <col min="2526" max="2526" width="19" style="312" customWidth="1"/>
    <col min="2527" max="2527" width="3.77734375" style="312" customWidth="1"/>
    <col min="2528" max="2528" width="19" style="312" customWidth="1"/>
    <col min="2529" max="2529" width="8.88671875" style="312"/>
    <col min="2530" max="2530" width="19" style="312" customWidth="1"/>
    <col min="2531" max="2531" width="3.77734375" style="312" customWidth="1"/>
    <col min="2532" max="2532" width="19" style="312" customWidth="1"/>
    <col min="2533" max="2774" width="8.88671875" style="312"/>
    <col min="2775" max="2775" width="17.33203125" style="312" customWidth="1"/>
    <col min="2776" max="2776" width="20.88671875" style="312" customWidth="1"/>
    <col min="2777" max="2777" width="10.77734375" style="312" customWidth="1"/>
    <col min="2778" max="2778" width="19" style="312" customWidth="1"/>
    <col min="2779" max="2779" width="3.77734375" style="312" customWidth="1"/>
    <col min="2780" max="2780" width="19" style="312" customWidth="1"/>
    <col min="2781" max="2781" width="3.77734375" style="312" customWidth="1"/>
    <col min="2782" max="2782" width="19" style="312" customWidth="1"/>
    <col min="2783" max="2783" width="3.77734375" style="312" customWidth="1"/>
    <col min="2784" max="2784" width="19" style="312" customWidth="1"/>
    <col min="2785" max="2785" width="8.88671875" style="312"/>
    <col min="2786" max="2786" width="19" style="312" customWidth="1"/>
    <col min="2787" max="2787" width="3.77734375" style="312" customWidth="1"/>
    <col min="2788" max="2788" width="19" style="312" customWidth="1"/>
    <col min="2789" max="3030" width="8.88671875" style="312"/>
    <col min="3031" max="3031" width="17.33203125" style="312" customWidth="1"/>
    <col min="3032" max="3032" width="20.88671875" style="312" customWidth="1"/>
    <col min="3033" max="3033" width="10.77734375" style="312" customWidth="1"/>
    <col min="3034" max="3034" width="19" style="312" customWidth="1"/>
    <col min="3035" max="3035" width="3.77734375" style="312" customWidth="1"/>
    <col min="3036" max="3036" width="19" style="312" customWidth="1"/>
    <col min="3037" max="3037" width="3.77734375" style="312" customWidth="1"/>
    <col min="3038" max="3038" width="19" style="312" customWidth="1"/>
    <col min="3039" max="3039" width="3.77734375" style="312" customWidth="1"/>
    <col min="3040" max="3040" width="19" style="312" customWidth="1"/>
    <col min="3041" max="3041" width="8.88671875" style="312"/>
    <col min="3042" max="3042" width="19" style="312" customWidth="1"/>
    <col min="3043" max="3043" width="3.77734375" style="312" customWidth="1"/>
    <col min="3044" max="3044" width="19" style="312" customWidth="1"/>
    <col min="3045" max="3286" width="8.88671875" style="312"/>
    <col min="3287" max="3287" width="17.33203125" style="312" customWidth="1"/>
    <col min="3288" max="3288" width="20.88671875" style="312" customWidth="1"/>
    <col min="3289" max="3289" width="10.77734375" style="312" customWidth="1"/>
    <col min="3290" max="3290" width="19" style="312" customWidth="1"/>
    <col min="3291" max="3291" width="3.77734375" style="312" customWidth="1"/>
    <col min="3292" max="3292" width="19" style="312" customWidth="1"/>
    <col min="3293" max="3293" width="3.77734375" style="312" customWidth="1"/>
    <col min="3294" max="3294" width="19" style="312" customWidth="1"/>
    <col min="3295" max="3295" width="3.77734375" style="312" customWidth="1"/>
    <col min="3296" max="3296" width="19" style="312" customWidth="1"/>
    <col min="3297" max="3297" width="8.88671875" style="312"/>
    <col min="3298" max="3298" width="19" style="312" customWidth="1"/>
    <col min="3299" max="3299" width="3.77734375" style="312" customWidth="1"/>
    <col min="3300" max="3300" width="19" style="312" customWidth="1"/>
    <col min="3301" max="3542" width="8.88671875" style="312"/>
    <col min="3543" max="3543" width="17.33203125" style="312" customWidth="1"/>
    <col min="3544" max="3544" width="20.88671875" style="312" customWidth="1"/>
    <col min="3545" max="3545" width="10.77734375" style="312" customWidth="1"/>
    <col min="3546" max="3546" width="19" style="312" customWidth="1"/>
    <col min="3547" max="3547" width="3.77734375" style="312" customWidth="1"/>
    <col min="3548" max="3548" width="19" style="312" customWidth="1"/>
    <col min="3549" max="3549" width="3.77734375" style="312" customWidth="1"/>
    <col min="3550" max="3550" width="19" style="312" customWidth="1"/>
    <col min="3551" max="3551" width="3.77734375" style="312" customWidth="1"/>
    <col min="3552" max="3552" width="19" style="312" customWidth="1"/>
    <col min="3553" max="3553" width="8.88671875" style="312"/>
    <col min="3554" max="3554" width="19" style="312" customWidth="1"/>
    <col min="3555" max="3555" width="3.77734375" style="312" customWidth="1"/>
    <col min="3556" max="3556" width="19" style="312" customWidth="1"/>
    <col min="3557" max="3798" width="8.88671875" style="312"/>
    <col min="3799" max="3799" width="17.33203125" style="312" customWidth="1"/>
    <col min="3800" max="3800" width="20.88671875" style="312" customWidth="1"/>
    <col min="3801" max="3801" width="10.77734375" style="312" customWidth="1"/>
    <col min="3802" max="3802" width="19" style="312" customWidth="1"/>
    <col min="3803" max="3803" width="3.77734375" style="312" customWidth="1"/>
    <col min="3804" max="3804" width="19" style="312" customWidth="1"/>
    <col min="3805" max="3805" width="3.77734375" style="312" customWidth="1"/>
    <col min="3806" max="3806" width="19" style="312" customWidth="1"/>
    <col min="3807" max="3807" width="3.77734375" style="312" customWidth="1"/>
    <col min="3808" max="3808" width="19" style="312" customWidth="1"/>
    <col min="3809" max="3809" width="8.88671875" style="312"/>
    <col min="3810" max="3810" width="19" style="312" customWidth="1"/>
    <col min="3811" max="3811" width="3.77734375" style="312" customWidth="1"/>
    <col min="3812" max="3812" width="19" style="312" customWidth="1"/>
    <col min="3813" max="4054" width="8.88671875" style="312"/>
    <col min="4055" max="4055" width="17.33203125" style="312" customWidth="1"/>
    <col min="4056" max="4056" width="20.88671875" style="312" customWidth="1"/>
    <col min="4057" max="4057" width="10.77734375" style="312" customWidth="1"/>
    <col min="4058" max="4058" width="19" style="312" customWidth="1"/>
    <col min="4059" max="4059" width="3.77734375" style="312" customWidth="1"/>
    <col min="4060" max="4060" width="19" style="312" customWidth="1"/>
    <col min="4061" max="4061" width="3.77734375" style="312" customWidth="1"/>
    <col min="4062" max="4062" width="19" style="312" customWidth="1"/>
    <col min="4063" max="4063" width="3.77734375" style="312" customWidth="1"/>
    <col min="4064" max="4064" width="19" style="312" customWidth="1"/>
    <col min="4065" max="4065" width="8.88671875" style="312"/>
    <col min="4066" max="4066" width="19" style="312" customWidth="1"/>
    <col min="4067" max="4067" width="3.77734375" style="312" customWidth="1"/>
    <col min="4068" max="4068" width="19" style="312" customWidth="1"/>
    <col min="4069" max="4310" width="8.88671875" style="312"/>
    <col min="4311" max="4311" width="17.33203125" style="312" customWidth="1"/>
    <col min="4312" max="4312" width="20.88671875" style="312" customWidth="1"/>
    <col min="4313" max="4313" width="10.77734375" style="312" customWidth="1"/>
    <col min="4314" max="4314" width="19" style="312" customWidth="1"/>
    <col min="4315" max="4315" width="3.77734375" style="312" customWidth="1"/>
    <col min="4316" max="4316" width="19" style="312" customWidth="1"/>
    <col min="4317" max="4317" width="3.77734375" style="312" customWidth="1"/>
    <col min="4318" max="4318" width="19" style="312" customWidth="1"/>
    <col min="4319" max="4319" width="3.77734375" style="312" customWidth="1"/>
    <col min="4320" max="4320" width="19" style="312" customWidth="1"/>
    <col min="4321" max="4321" width="8.88671875" style="312"/>
    <col min="4322" max="4322" width="19" style="312" customWidth="1"/>
    <col min="4323" max="4323" width="3.77734375" style="312" customWidth="1"/>
    <col min="4324" max="4324" width="19" style="312" customWidth="1"/>
    <col min="4325" max="4566" width="8.88671875" style="312"/>
    <col min="4567" max="4567" width="17.33203125" style="312" customWidth="1"/>
    <col min="4568" max="4568" width="20.88671875" style="312" customWidth="1"/>
    <col min="4569" max="4569" width="10.77734375" style="312" customWidth="1"/>
    <col min="4570" max="4570" width="19" style="312" customWidth="1"/>
    <col min="4571" max="4571" width="3.77734375" style="312" customWidth="1"/>
    <col min="4572" max="4572" width="19" style="312" customWidth="1"/>
    <col min="4573" max="4573" width="3.77734375" style="312" customWidth="1"/>
    <col min="4574" max="4574" width="19" style="312" customWidth="1"/>
    <col min="4575" max="4575" width="3.77734375" style="312" customWidth="1"/>
    <col min="4576" max="4576" width="19" style="312" customWidth="1"/>
    <col min="4577" max="4577" width="8.88671875" style="312"/>
    <col min="4578" max="4578" width="19" style="312" customWidth="1"/>
    <col min="4579" max="4579" width="3.77734375" style="312" customWidth="1"/>
    <col min="4580" max="4580" width="19" style="312" customWidth="1"/>
    <col min="4581" max="4822" width="8.88671875" style="312"/>
    <col min="4823" max="4823" width="17.33203125" style="312" customWidth="1"/>
    <col min="4824" max="4824" width="20.88671875" style="312" customWidth="1"/>
    <col min="4825" max="4825" width="10.77734375" style="312" customWidth="1"/>
    <col min="4826" max="4826" width="19" style="312" customWidth="1"/>
    <col min="4827" max="4827" width="3.77734375" style="312" customWidth="1"/>
    <col min="4828" max="4828" width="19" style="312" customWidth="1"/>
    <col min="4829" max="4829" width="3.77734375" style="312" customWidth="1"/>
    <col min="4830" max="4830" width="19" style="312" customWidth="1"/>
    <col min="4831" max="4831" width="3.77734375" style="312" customWidth="1"/>
    <col min="4832" max="4832" width="19" style="312" customWidth="1"/>
    <col min="4833" max="4833" width="8.88671875" style="312"/>
    <col min="4834" max="4834" width="19" style="312" customWidth="1"/>
    <col min="4835" max="4835" width="3.77734375" style="312" customWidth="1"/>
    <col min="4836" max="4836" width="19" style="312" customWidth="1"/>
    <col min="4837" max="5078" width="8.88671875" style="312"/>
    <col min="5079" max="5079" width="17.33203125" style="312" customWidth="1"/>
    <col min="5080" max="5080" width="20.88671875" style="312" customWidth="1"/>
    <col min="5081" max="5081" width="10.77734375" style="312" customWidth="1"/>
    <col min="5082" max="5082" width="19" style="312" customWidth="1"/>
    <col min="5083" max="5083" width="3.77734375" style="312" customWidth="1"/>
    <col min="5084" max="5084" width="19" style="312" customWidth="1"/>
    <col min="5085" max="5085" width="3.77734375" style="312" customWidth="1"/>
    <col min="5086" max="5086" width="19" style="312" customWidth="1"/>
    <col min="5087" max="5087" width="3.77734375" style="312" customWidth="1"/>
    <col min="5088" max="5088" width="19" style="312" customWidth="1"/>
    <col min="5089" max="5089" width="8.88671875" style="312"/>
    <col min="5090" max="5090" width="19" style="312" customWidth="1"/>
    <col min="5091" max="5091" width="3.77734375" style="312" customWidth="1"/>
    <col min="5092" max="5092" width="19" style="312" customWidth="1"/>
    <col min="5093" max="5334" width="8.88671875" style="312"/>
    <col min="5335" max="5335" width="17.33203125" style="312" customWidth="1"/>
    <col min="5336" max="5336" width="20.88671875" style="312" customWidth="1"/>
    <col min="5337" max="5337" width="10.77734375" style="312" customWidth="1"/>
    <col min="5338" max="5338" width="19" style="312" customWidth="1"/>
    <col min="5339" max="5339" width="3.77734375" style="312" customWidth="1"/>
    <col min="5340" max="5340" width="19" style="312" customWidth="1"/>
    <col min="5341" max="5341" width="3.77734375" style="312" customWidth="1"/>
    <col min="5342" max="5342" width="19" style="312" customWidth="1"/>
    <col min="5343" max="5343" width="3.77734375" style="312" customWidth="1"/>
    <col min="5344" max="5344" width="19" style="312" customWidth="1"/>
    <col min="5345" max="5345" width="8.88671875" style="312"/>
    <col min="5346" max="5346" width="19" style="312" customWidth="1"/>
    <col min="5347" max="5347" width="3.77734375" style="312" customWidth="1"/>
    <col min="5348" max="5348" width="19" style="312" customWidth="1"/>
    <col min="5349" max="5590" width="8.88671875" style="312"/>
    <col min="5591" max="5591" width="17.33203125" style="312" customWidth="1"/>
    <col min="5592" max="5592" width="20.88671875" style="312" customWidth="1"/>
    <col min="5593" max="5593" width="10.77734375" style="312" customWidth="1"/>
    <col min="5594" max="5594" width="19" style="312" customWidth="1"/>
    <col min="5595" max="5595" width="3.77734375" style="312" customWidth="1"/>
    <col min="5596" max="5596" width="19" style="312" customWidth="1"/>
    <col min="5597" max="5597" width="3.77734375" style="312" customWidth="1"/>
    <col min="5598" max="5598" width="19" style="312" customWidth="1"/>
    <col min="5599" max="5599" width="3.77734375" style="312" customWidth="1"/>
    <col min="5600" max="5600" width="19" style="312" customWidth="1"/>
    <col min="5601" max="5601" width="8.88671875" style="312"/>
    <col min="5602" max="5602" width="19" style="312" customWidth="1"/>
    <col min="5603" max="5603" width="3.77734375" style="312" customWidth="1"/>
    <col min="5604" max="5604" width="19" style="312" customWidth="1"/>
    <col min="5605" max="5846" width="8.88671875" style="312"/>
    <col min="5847" max="5847" width="17.33203125" style="312" customWidth="1"/>
    <col min="5848" max="5848" width="20.88671875" style="312" customWidth="1"/>
    <col min="5849" max="5849" width="10.77734375" style="312" customWidth="1"/>
    <col min="5850" max="5850" width="19" style="312" customWidth="1"/>
    <col min="5851" max="5851" width="3.77734375" style="312" customWidth="1"/>
    <col min="5852" max="5852" width="19" style="312" customWidth="1"/>
    <col min="5853" max="5853" width="3.77734375" style="312" customWidth="1"/>
    <col min="5854" max="5854" width="19" style="312" customWidth="1"/>
    <col min="5855" max="5855" width="3.77734375" style="312" customWidth="1"/>
    <col min="5856" max="5856" width="19" style="312" customWidth="1"/>
    <col min="5857" max="5857" width="8.88671875" style="312"/>
    <col min="5858" max="5858" width="19" style="312" customWidth="1"/>
    <col min="5859" max="5859" width="3.77734375" style="312" customWidth="1"/>
    <col min="5860" max="5860" width="19" style="312" customWidth="1"/>
    <col min="5861" max="6102" width="8.88671875" style="312"/>
    <col min="6103" max="6103" width="17.33203125" style="312" customWidth="1"/>
    <col min="6104" max="6104" width="20.88671875" style="312" customWidth="1"/>
    <col min="6105" max="6105" width="10.77734375" style="312" customWidth="1"/>
    <col min="6106" max="6106" width="19" style="312" customWidth="1"/>
    <col min="6107" max="6107" width="3.77734375" style="312" customWidth="1"/>
    <col min="6108" max="6108" width="19" style="312" customWidth="1"/>
    <col min="6109" max="6109" width="3.77734375" style="312" customWidth="1"/>
    <col min="6110" max="6110" width="19" style="312" customWidth="1"/>
    <col min="6111" max="6111" width="3.77734375" style="312" customWidth="1"/>
    <col min="6112" max="6112" width="19" style="312" customWidth="1"/>
    <col min="6113" max="6113" width="8.88671875" style="312"/>
    <col min="6114" max="6114" width="19" style="312" customWidth="1"/>
    <col min="6115" max="6115" width="3.77734375" style="312" customWidth="1"/>
    <col min="6116" max="6116" width="19" style="312" customWidth="1"/>
    <col min="6117" max="6358" width="8.88671875" style="312"/>
    <col min="6359" max="6359" width="17.33203125" style="312" customWidth="1"/>
    <col min="6360" max="6360" width="20.88671875" style="312" customWidth="1"/>
    <col min="6361" max="6361" width="10.77734375" style="312" customWidth="1"/>
    <col min="6362" max="6362" width="19" style="312" customWidth="1"/>
    <col min="6363" max="6363" width="3.77734375" style="312" customWidth="1"/>
    <col min="6364" max="6364" width="19" style="312" customWidth="1"/>
    <col min="6365" max="6365" width="3.77734375" style="312" customWidth="1"/>
    <col min="6366" max="6366" width="19" style="312" customWidth="1"/>
    <col min="6367" max="6367" width="3.77734375" style="312" customWidth="1"/>
    <col min="6368" max="6368" width="19" style="312" customWidth="1"/>
    <col min="6369" max="6369" width="8.88671875" style="312"/>
    <col min="6370" max="6370" width="19" style="312" customWidth="1"/>
    <col min="6371" max="6371" width="3.77734375" style="312" customWidth="1"/>
    <col min="6372" max="6372" width="19" style="312" customWidth="1"/>
    <col min="6373" max="6614" width="8.88671875" style="312"/>
    <col min="6615" max="6615" width="17.33203125" style="312" customWidth="1"/>
    <col min="6616" max="6616" width="20.88671875" style="312" customWidth="1"/>
    <col min="6617" max="6617" width="10.77734375" style="312" customWidth="1"/>
    <col min="6618" max="6618" width="19" style="312" customWidth="1"/>
    <col min="6619" max="6619" width="3.77734375" style="312" customWidth="1"/>
    <col min="6620" max="6620" width="19" style="312" customWidth="1"/>
    <col min="6621" max="6621" width="3.77734375" style="312" customWidth="1"/>
    <col min="6622" max="6622" width="19" style="312" customWidth="1"/>
    <col min="6623" max="6623" width="3.77734375" style="312" customWidth="1"/>
    <col min="6624" max="6624" width="19" style="312" customWidth="1"/>
    <col min="6625" max="6625" width="8.88671875" style="312"/>
    <col min="6626" max="6626" width="19" style="312" customWidth="1"/>
    <col min="6627" max="6627" width="3.77734375" style="312" customWidth="1"/>
    <col min="6628" max="6628" width="19" style="312" customWidth="1"/>
    <col min="6629" max="6870" width="8.88671875" style="312"/>
    <col min="6871" max="6871" width="17.33203125" style="312" customWidth="1"/>
    <col min="6872" max="6872" width="20.88671875" style="312" customWidth="1"/>
    <col min="6873" max="6873" width="10.77734375" style="312" customWidth="1"/>
    <col min="6874" max="6874" width="19" style="312" customWidth="1"/>
    <col min="6875" max="6875" width="3.77734375" style="312" customWidth="1"/>
    <col min="6876" max="6876" width="19" style="312" customWidth="1"/>
    <col min="6877" max="6877" width="3.77734375" style="312" customWidth="1"/>
    <col min="6878" max="6878" width="19" style="312" customWidth="1"/>
    <col min="6879" max="6879" width="3.77734375" style="312" customWidth="1"/>
    <col min="6880" max="6880" width="19" style="312" customWidth="1"/>
    <col min="6881" max="6881" width="8.88671875" style="312"/>
    <col min="6882" max="6882" width="19" style="312" customWidth="1"/>
    <col min="6883" max="6883" width="3.77734375" style="312" customWidth="1"/>
    <col min="6884" max="6884" width="19" style="312" customWidth="1"/>
    <col min="6885" max="7126" width="8.88671875" style="312"/>
    <col min="7127" max="7127" width="17.33203125" style="312" customWidth="1"/>
    <col min="7128" max="7128" width="20.88671875" style="312" customWidth="1"/>
    <col min="7129" max="7129" width="10.77734375" style="312" customWidth="1"/>
    <col min="7130" max="7130" width="19" style="312" customWidth="1"/>
    <col min="7131" max="7131" width="3.77734375" style="312" customWidth="1"/>
    <col min="7132" max="7132" width="19" style="312" customWidth="1"/>
    <col min="7133" max="7133" width="3.77734375" style="312" customWidth="1"/>
    <col min="7134" max="7134" width="19" style="312" customWidth="1"/>
    <col min="7135" max="7135" width="3.77734375" style="312" customWidth="1"/>
    <col min="7136" max="7136" width="19" style="312" customWidth="1"/>
    <col min="7137" max="7137" width="8.88671875" style="312"/>
    <col min="7138" max="7138" width="19" style="312" customWidth="1"/>
    <col min="7139" max="7139" width="3.77734375" style="312" customWidth="1"/>
    <col min="7140" max="7140" width="19" style="312" customWidth="1"/>
    <col min="7141" max="7382" width="8.88671875" style="312"/>
    <col min="7383" max="7383" width="17.33203125" style="312" customWidth="1"/>
    <col min="7384" max="7384" width="20.88671875" style="312" customWidth="1"/>
    <col min="7385" max="7385" width="10.77734375" style="312" customWidth="1"/>
    <col min="7386" max="7386" width="19" style="312" customWidth="1"/>
    <col min="7387" max="7387" width="3.77734375" style="312" customWidth="1"/>
    <col min="7388" max="7388" width="19" style="312" customWidth="1"/>
    <col min="7389" max="7389" width="3.77734375" style="312" customWidth="1"/>
    <col min="7390" max="7390" width="19" style="312" customWidth="1"/>
    <col min="7391" max="7391" width="3.77734375" style="312" customWidth="1"/>
    <col min="7392" max="7392" width="19" style="312" customWidth="1"/>
    <col min="7393" max="7393" width="8.88671875" style="312"/>
    <col min="7394" max="7394" width="19" style="312" customWidth="1"/>
    <col min="7395" max="7395" width="3.77734375" style="312" customWidth="1"/>
    <col min="7396" max="7396" width="19" style="312" customWidth="1"/>
    <col min="7397" max="7638" width="8.88671875" style="312"/>
    <col min="7639" max="7639" width="17.33203125" style="312" customWidth="1"/>
    <col min="7640" max="7640" width="20.88671875" style="312" customWidth="1"/>
    <col min="7641" max="7641" width="10.77734375" style="312" customWidth="1"/>
    <col min="7642" max="7642" width="19" style="312" customWidth="1"/>
    <col min="7643" max="7643" width="3.77734375" style="312" customWidth="1"/>
    <col min="7644" max="7644" width="19" style="312" customWidth="1"/>
    <col min="7645" max="7645" width="3.77734375" style="312" customWidth="1"/>
    <col min="7646" max="7646" width="19" style="312" customWidth="1"/>
    <col min="7647" max="7647" width="3.77734375" style="312" customWidth="1"/>
    <col min="7648" max="7648" width="19" style="312" customWidth="1"/>
    <col min="7649" max="7649" width="8.88671875" style="312"/>
    <col min="7650" max="7650" width="19" style="312" customWidth="1"/>
    <col min="7651" max="7651" width="3.77734375" style="312" customWidth="1"/>
    <col min="7652" max="7652" width="19" style="312" customWidth="1"/>
    <col min="7653" max="7894" width="8.88671875" style="312"/>
    <col min="7895" max="7895" width="17.33203125" style="312" customWidth="1"/>
    <col min="7896" max="7896" width="20.88671875" style="312" customWidth="1"/>
    <col min="7897" max="7897" width="10.77734375" style="312" customWidth="1"/>
    <col min="7898" max="7898" width="19" style="312" customWidth="1"/>
    <col min="7899" max="7899" width="3.77734375" style="312" customWidth="1"/>
    <col min="7900" max="7900" width="19" style="312" customWidth="1"/>
    <col min="7901" max="7901" width="3.77734375" style="312" customWidth="1"/>
    <col min="7902" max="7902" width="19" style="312" customWidth="1"/>
    <col min="7903" max="7903" width="3.77734375" style="312" customWidth="1"/>
    <col min="7904" max="7904" width="19" style="312" customWidth="1"/>
    <col min="7905" max="7905" width="8.88671875" style="312"/>
    <col min="7906" max="7906" width="19" style="312" customWidth="1"/>
    <col min="7907" max="7907" width="3.77734375" style="312" customWidth="1"/>
    <col min="7908" max="7908" width="19" style="312" customWidth="1"/>
    <col min="7909" max="8150" width="8.88671875" style="312"/>
    <col min="8151" max="8151" width="17.33203125" style="312" customWidth="1"/>
    <col min="8152" max="8152" width="20.88671875" style="312" customWidth="1"/>
    <col min="8153" max="8153" width="10.77734375" style="312" customWidth="1"/>
    <col min="8154" max="8154" width="19" style="312" customWidth="1"/>
    <col min="8155" max="8155" width="3.77734375" style="312" customWidth="1"/>
    <col min="8156" max="8156" width="19" style="312" customWidth="1"/>
    <col min="8157" max="8157" width="3.77734375" style="312" customWidth="1"/>
    <col min="8158" max="8158" width="19" style="312" customWidth="1"/>
    <col min="8159" max="8159" width="3.77734375" style="312" customWidth="1"/>
    <col min="8160" max="8160" width="19" style="312" customWidth="1"/>
    <col min="8161" max="8161" width="8.88671875" style="312"/>
    <col min="8162" max="8162" width="19" style="312" customWidth="1"/>
    <col min="8163" max="8163" width="3.77734375" style="312" customWidth="1"/>
    <col min="8164" max="8164" width="19" style="312" customWidth="1"/>
    <col min="8165" max="8406" width="8.88671875" style="312"/>
    <col min="8407" max="8407" width="17.33203125" style="312" customWidth="1"/>
    <col min="8408" max="8408" width="20.88671875" style="312" customWidth="1"/>
    <col min="8409" max="8409" width="10.77734375" style="312" customWidth="1"/>
    <col min="8410" max="8410" width="19" style="312" customWidth="1"/>
    <col min="8411" max="8411" width="3.77734375" style="312" customWidth="1"/>
    <col min="8412" max="8412" width="19" style="312" customWidth="1"/>
    <col min="8413" max="8413" width="3.77734375" style="312" customWidth="1"/>
    <col min="8414" max="8414" width="19" style="312" customWidth="1"/>
    <col min="8415" max="8415" width="3.77734375" style="312" customWidth="1"/>
    <col min="8416" max="8416" width="19" style="312" customWidth="1"/>
    <col min="8417" max="8417" width="8.88671875" style="312"/>
    <col min="8418" max="8418" width="19" style="312" customWidth="1"/>
    <col min="8419" max="8419" width="3.77734375" style="312" customWidth="1"/>
    <col min="8420" max="8420" width="19" style="312" customWidth="1"/>
    <col min="8421" max="8662" width="8.88671875" style="312"/>
    <col min="8663" max="8663" width="17.33203125" style="312" customWidth="1"/>
    <col min="8664" max="8664" width="20.88671875" style="312" customWidth="1"/>
    <col min="8665" max="8665" width="10.77734375" style="312" customWidth="1"/>
    <col min="8666" max="8666" width="19" style="312" customWidth="1"/>
    <col min="8667" max="8667" width="3.77734375" style="312" customWidth="1"/>
    <col min="8668" max="8668" width="19" style="312" customWidth="1"/>
    <col min="8669" max="8669" width="3.77734375" style="312" customWidth="1"/>
    <col min="8670" max="8670" width="19" style="312" customWidth="1"/>
    <col min="8671" max="8671" width="3.77734375" style="312" customWidth="1"/>
    <col min="8672" max="8672" width="19" style="312" customWidth="1"/>
    <col min="8673" max="8673" width="8.88671875" style="312"/>
    <col min="8674" max="8674" width="19" style="312" customWidth="1"/>
    <col min="8675" max="8675" width="3.77734375" style="312" customWidth="1"/>
    <col min="8676" max="8676" width="19" style="312" customWidth="1"/>
    <col min="8677" max="8918" width="8.88671875" style="312"/>
    <col min="8919" max="8919" width="17.33203125" style="312" customWidth="1"/>
    <col min="8920" max="8920" width="20.88671875" style="312" customWidth="1"/>
    <col min="8921" max="8921" width="10.77734375" style="312" customWidth="1"/>
    <col min="8922" max="8922" width="19" style="312" customWidth="1"/>
    <col min="8923" max="8923" width="3.77734375" style="312" customWidth="1"/>
    <col min="8924" max="8924" width="19" style="312" customWidth="1"/>
    <col min="8925" max="8925" width="3.77734375" style="312" customWidth="1"/>
    <col min="8926" max="8926" width="19" style="312" customWidth="1"/>
    <col min="8927" max="8927" width="3.77734375" style="312" customWidth="1"/>
    <col min="8928" max="8928" width="19" style="312" customWidth="1"/>
    <col min="8929" max="8929" width="8.88671875" style="312"/>
    <col min="8930" max="8930" width="19" style="312" customWidth="1"/>
    <col min="8931" max="8931" width="3.77734375" style="312" customWidth="1"/>
    <col min="8932" max="8932" width="19" style="312" customWidth="1"/>
    <col min="8933" max="9174" width="8.88671875" style="312"/>
    <col min="9175" max="9175" width="17.33203125" style="312" customWidth="1"/>
    <col min="9176" max="9176" width="20.88671875" style="312" customWidth="1"/>
    <col min="9177" max="9177" width="10.77734375" style="312" customWidth="1"/>
    <col min="9178" max="9178" width="19" style="312" customWidth="1"/>
    <col min="9179" max="9179" width="3.77734375" style="312" customWidth="1"/>
    <col min="9180" max="9180" width="19" style="312" customWidth="1"/>
    <col min="9181" max="9181" width="3.77734375" style="312" customWidth="1"/>
    <col min="9182" max="9182" width="19" style="312" customWidth="1"/>
    <col min="9183" max="9183" width="3.77734375" style="312" customWidth="1"/>
    <col min="9184" max="9184" width="19" style="312" customWidth="1"/>
    <col min="9185" max="9185" width="8.88671875" style="312"/>
    <col min="9186" max="9186" width="19" style="312" customWidth="1"/>
    <col min="9187" max="9187" width="3.77734375" style="312" customWidth="1"/>
    <col min="9188" max="9188" width="19" style="312" customWidth="1"/>
    <col min="9189" max="9430" width="8.88671875" style="312"/>
    <col min="9431" max="9431" width="17.33203125" style="312" customWidth="1"/>
    <col min="9432" max="9432" width="20.88671875" style="312" customWidth="1"/>
    <col min="9433" max="9433" width="10.77734375" style="312" customWidth="1"/>
    <col min="9434" max="9434" width="19" style="312" customWidth="1"/>
    <col min="9435" max="9435" width="3.77734375" style="312" customWidth="1"/>
    <col min="9436" max="9436" width="19" style="312" customWidth="1"/>
    <col min="9437" max="9437" width="3.77734375" style="312" customWidth="1"/>
    <col min="9438" max="9438" width="19" style="312" customWidth="1"/>
    <col min="9439" max="9439" width="3.77734375" style="312" customWidth="1"/>
    <col min="9440" max="9440" width="19" style="312" customWidth="1"/>
    <col min="9441" max="9441" width="8.88671875" style="312"/>
    <col min="9442" max="9442" width="19" style="312" customWidth="1"/>
    <col min="9443" max="9443" width="3.77734375" style="312" customWidth="1"/>
    <col min="9444" max="9444" width="19" style="312" customWidth="1"/>
    <col min="9445" max="9686" width="8.88671875" style="312"/>
    <col min="9687" max="9687" width="17.33203125" style="312" customWidth="1"/>
    <col min="9688" max="9688" width="20.88671875" style="312" customWidth="1"/>
    <col min="9689" max="9689" width="10.77734375" style="312" customWidth="1"/>
    <col min="9690" max="9690" width="19" style="312" customWidth="1"/>
    <col min="9691" max="9691" width="3.77734375" style="312" customWidth="1"/>
    <col min="9692" max="9692" width="19" style="312" customWidth="1"/>
    <col min="9693" max="9693" width="3.77734375" style="312" customWidth="1"/>
    <col min="9694" max="9694" width="19" style="312" customWidth="1"/>
    <col min="9695" max="9695" width="3.77734375" style="312" customWidth="1"/>
    <col min="9696" max="9696" width="19" style="312" customWidth="1"/>
    <col min="9697" max="9697" width="8.88671875" style="312"/>
    <col min="9698" max="9698" width="19" style="312" customWidth="1"/>
    <col min="9699" max="9699" width="3.77734375" style="312" customWidth="1"/>
    <col min="9700" max="9700" width="19" style="312" customWidth="1"/>
    <col min="9701" max="9942" width="8.88671875" style="312"/>
    <col min="9943" max="9943" width="17.33203125" style="312" customWidth="1"/>
    <col min="9944" max="9944" width="20.88671875" style="312" customWidth="1"/>
    <col min="9945" max="9945" width="10.77734375" style="312" customWidth="1"/>
    <col min="9946" max="9946" width="19" style="312" customWidth="1"/>
    <col min="9947" max="9947" width="3.77734375" style="312" customWidth="1"/>
    <col min="9948" max="9948" width="19" style="312" customWidth="1"/>
    <col min="9949" max="9949" width="3.77734375" style="312" customWidth="1"/>
    <col min="9950" max="9950" width="19" style="312" customWidth="1"/>
    <col min="9951" max="9951" width="3.77734375" style="312" customWidth="1"/>
    <col min="9952" max="9952" width="19" style="312" customWidth="1"/>
    <col min="9953" max="9953" width="8.88671875" style="312"/>
    <col min="9954" max="9954" width="19" style="312" customWidth="1"/>
    <col min="9955" max="9955" width="3.77734375" style="312" customWidth="1"/>
    <col min="9956" max="9956" width="19" style="312" customWidth="1"/>
    <col min="9957" max="10198" width="8.88671875" style="312"/>
    <col min="10199" max="10199" width="17.33203125" style="312" customWidth="1"/>
    <col min="10200" max="10200" width="20.88671875" style="312" customWidth="1"/>
    <col min="10201" max="10201" width="10.77734375" style="312" customWidth="1"/>
    <col min="10202" max="10202" width="19" style="312" customWidth="1"/>
    <col min="10203" max="10203" width="3.77734375" style="312" customWidth="1"/>
    <col min="10204" max="10204" width="19" style="312" customWidth="1"/>
    <col min="10205" max="10205" width="3.77734375" style="312" customWidth="1"/>
    <col min="10206" max="10206" width="19" style="312" customWidth="1"/>
    <col min="10207" max="10207" width="3.77734375" style="312" customWidth="1"/>
    <col min="10208" max="10208" width="19" style="312" customWidth="1"/>
    <col min="10209" max="10209" width="8.88671875" style="312"/>
    <col min="10210" max="10210" width="19" style="312" customWidth="1"/>
    <col min="10211" max="10211" width="3.77734375" style="312" customWidth="1"/>
    <col min="10212" max="10212" width="19" style="312" customWidth="1"/>
    <col min="10213" max="10454" width="8.88671875" style="312"/>
    <col min="10455" max="10455" width="17.33203125" style="312" customWidth="1"/>
    <col min="10456" max="10456" width="20.88671875" style="312" customWidth="1"/>
    <col min="10457" max="10457" width="10.77734375" style="312" customWidth="1"/>
    <col min="10458" max="10458" width="19" style="312" customWidth="1"/>
    <col min="10459" max="10459" width="3.77734375" style="312" customWidth="1"/>
    <col min="10460" max="10460" width="19" style="312" customWidth="1"/>
    <col min="10461" max="10461" width="3.77734375" style="312" customWidth="1"/>
    <col min="10462" max="10462" width="19" style="312" customWidth="1"/>
    <col min="10463" max="10463" width="3.77734375" style="312" customWidth="1"/>
    <col min="10464" max="10464" width="19" style="312" customWidth="1"/>
    <col min="10465" max="10465" width="8.88671875" style="312"/>
    <col min="10466" max="10466" width="19" style="312" customWidth="1"/>
    <col min="10467" max="10467" width="3.77734375" style="312" customWidth="1"/>
    <col min="10468" max="10468" width="19" style="312" customWidth="1"/>
    <col min="10469" max="10710" width="8.88671875" style="312"/>
    <col min="10711" max="10711" width="17.33203125" style="312" customWidth="1"/>
    <col min="10712" max="10712" width="20.88671875" style="312" customWidth="1"/>
    <col min="10713" max="10713" width="10.77734375" style="312" customWidth="1"/>
    <col min="10714" max="10714" width="19" style="312" customWidth="1"/>
    <col min="10715" max="10715" width="3.77734375" style="312" customWidth="1"/>
    <col min="10716" max="10716" width="19" style="312" customWidth="1"/>
    <col min="10717" max="10717" width="3.77734375" style="312" customWidth="1"/>
    <col min="10718" max="10718" width="19" style="312" customWidth="1"/>
    <col min="10719" max="10719" width="3.77734375" style="312" customWidth="1"/>
    <col min="10720" max="10720" width="19" style="312" customWidth="1"/>
    <col min="10721" max="10721" width="8.88671875" style="312"/>
    <col min="10722" max="10722" width="19" style="312" customWidth="1"/>
    <col min="10723" max="10723" width="3.77734375" style="312" customWidth="1"/>
    <col min="10724" max="10724" width="19" style="312" customWidth="1"/>
    <col min="10725" max="10966" width="8.88671875" style="312"/>
    <col min="10967" max="10967" width="17.33203125" style="312" customWidth="1"/>
    <col min="10968" max="10968" width="20.88671875" style="312" customWidth="1"/>
    <col min="10969" max="10969" width="10.77734375" style="312" customWidth="1"/>
    <col min="10970" max="10970" width="19" style="312" customWidth="1"/>
    <col min="10971" max="10971" width="3.77734375" style="312" customWidth="1"/>
    <col min="10972" max="10972" width="19" style="312" customWidth="1"/>
    <col min="10973" max="10973" width="3.77734375" style="312" customWidth="1"/>
    <col min="10974" max="10974" width="19" style="312" customWidth="1"/>
    <col min="10975" max="10975" width="3.77734375" style="312" customWidth="1"/>
    <col min="10976" max="10976" width="19" style="312" customWidth="1"/>
    <col min="10977" max="10977" width="8.88671875" style="312"/>
    <col min="10978" max="10978" width="19" style="312" customWidth="1"/>
    <col min="10979" max="10979" width="3.77734375" style="312" customWidth="1"/>
    <col min="10980" max="10980" width="19" style="312" customWidth="1"/>
    <col min="10981" max="11222" width="8.88671875" style="312"/>
    <col min="11223" max="11223" width="17.33203125" style="312" customWidth="1"/>
    <col min="11224" max="11224" width="20.88671875" style="312" customWidth="1"/>
    <col min="11225" max="11225" width="10.77734375" style="312" customWidth="1"/>
    <col min="11226" max="11226" width="19" style="312" customWidth="1"/>
    <col min="11227" max="11227" width="3.77734375" style="312" customWidth="1"/>
    <col min="11228" max="11228" width="19" style="312" customWidth="1"/>
    <col min="11229" max="11229" width="3.77734375" style="312" customWidth="1"/>
    <col min="11230" max="11230" width="19" style="312" customWidth="1"/>
    <col min="11231" max="11231" width="3.77734375" style="312" customWidth="1"/>
    <col min="11232" max="11232" width="19" style="312" customWidth="1"/>
    <col min="11233" max="11233" width="8.88671875" style="312"/>
    <col min="11234" max="11234" width="19" style="312" customWidth="1"/>
    <col min="11235" max="11235" width="3.77734375" style="312" customWidth="1"/>
    <col min="11236" max="11236" width="19" style="312" customWidth="1"/>
    <col min="11237" max="11478" width="8.88671875" style="312"/>
    <col min="11479" max="11479" width="17.33203125" style="312" customWidth="1"/>
    <col min="11480" max="11480" width="20.88671875" style="312" customWidth="1"/>
    <col min="11481" max="11481" width="10.77734375" style="312" customWidth="1"/>
    <col min="11482" max="11482" width="19" style="312" customWidth="1"/>
    <col min="11483" max="11483" width="3.77734375" style="312" customWidth="1"/>
    <col min="11484" max="11484" width="19" style="312" customWidth="1"/>
    <col min="11485" max="11485" width="3.77734375" style="312" customWidth="1"/>
    <col min="11486" max="11486" width="19" style="312" customWidth="1"/>
    <col min="11487" max="11487" width="3.77734375" style="312" customWidth="1"/>
    <col min="11488" max="11488" width="19" style="312" customWidth="1"/>
    <col min="11489" max="11489" width="8.88671875" style="312"/>
    <col min="11490" max="11490" width="19" style="312" customWidth="1"/>
    <col min="11491" max="11491" width="3.77734375" style="312" customWidth="1"/>
    <col min="11492" max="11492" width="19" style="312" customWidth="1"/>
    <col min="11493" max="11734" width="8.88671875" style="312"/>
    <col min="11735" max="11735" width="17.33203125" style="312" customWidth="1"/>
    <col min="11736" max="11736" width="20.88671875" style="312" customWidth="1"/>
    <col min="11737" max="11737" width="10.77734375" style="312" customWidth="1"/>
    <col min="11738" max="11738" width="19" style="312" customWidth="1"/>
    <col min="11739" max="11739" width="3.77734375" style="312" customWidth="1"/>
    <col min="11740" max="11740" width="19" style="312" customWidth="1"/>
    <col min="11741" max="11741" width="3.77734375" style="312" customWidth="1"/>
    <col min="11742" max="11742" width="19" style="312" customWidth="1"/>
    <col min="11743" max="11743" width="3.77734375" style="312" customWidth="1"/>
    <col min="11744" max="11744" width="19" style="312" customWidth="1"/>
    <col min="11745" max="11745" width="8.88671875" style="312"/>
    <col min="11746" max="11746" width="19" style="312" customWidth="1"/>
    <col min="11747" max="11747" width="3.77734375" style="312" customWidth="1"/>
    <col min="11748" max="11748" width="19" style="312" customWidth="1"/>
    <col min="11749" max="11990" width="8.88671875" style="312"/>
    <col min="11991" max="11991" width="17.33203125" style="312" customWidth="1"/>
    <col min="11992" max="11992" width="20.88671875" style="312" customWidth="1"/>
    <col min="11993" max="11993" width="10.77734375" style="312" customWidth="1"/>
    <col min="11994" max="11994" width="19" style="312" customWidth="1"/>
    <col min="11995" max="11995" width="3.77734375" style="312" customWidth="1"/>
    <col min="11996" max="11996" width="19" style="312" customWidth="1"/>
    <col min="11997" max="11997" width="3.77734375" style="312" customWidth="1"/>
    <col min="11998" max="11998" width="19" style="312" customWidth="1"/>
    <col min="11999" max="11999" width="3.77734375" style="312" customWidth="1"/>
    <col min="12000" max="12000" width="19" style="312" customWidth="1"/>
    <col min="12001" max="12001" width="8.88671875" style="312"/>
    <col min="12002" max="12002" width="19" style="312" customWidth="1"/>
    <col min="12003" max="12003" width="3.77734375" style="312" customWidth="1"/>
    <col min="12004" max="12004" width="19" style="312" customWidth="1"/>
    <col min="12005" max="12246" width="8.88671875" style="312"/>
    <col min="12247" max="12247" width="17.33203125" style="312" customWidth="1"/>
    <col min="12248" max="12248" width="20.88671875" style="312" customWidth="1"/>
    <col min="12249" max="12249" width="10.77734375" style="312" customWidth="1"/>
    <col min="12250" max="12250" width="19" style="312" customWidth="1"/>
    <col min="12251" max="12251" width="3.77734375" style="312" customWidth="1"/>
    <col min="12252" max="12252" width="19" style="312" customWidth="1"/>
    <col min="12253" max="12253" width="3.77734375" style="312" customWidth="1"/>
    <col min="12254" max="12254" width="19" style="312" customWidth="1"/>
    <col min="12255" max="12255" width="3.77734375" style="312" customWidth="1"/>
    <col min="12256" max="12256" width="19" style="312" customWidth="1"/>
    <col min="12257" max="12257" width="8.88671875" style="312"/>
    <col min="12258" max="12258" width="19" style="312" customWidth="1"/>
    <col min="12259" max="12259" width="3.77734375" style="312" customWidth="1"/>
    <col min="12260" max="12260" width="19" style="312" customWidth="1"/>
    <col min="12261" max="12502" width="8.88671875" style="312"/>
    <col min="12503" max="12503" width="17.33203125" style="312" customWidth="1"/>
    <col min="12504" max="12504" width="20.88671875" style="312" customWidth="1"/>
    <col min="12505" max="12505" width="10.77734375" style="312" customWidth="1"/>
    <col min="12506" max="12506" width="19" style="312" customWidth="1"/>
    <col min="12507" max="12507" width="3.77734375" style="312" customWidth="1"/>
    <col min="12508" max="12508" width="19" style="312" customWidth="1"/>
    <col min="12509" max="12509" width="3.77734375" style="312" customWidth="1"/>
    <col min="12510" max="12510" width="19" style="312" customWidth="1"/>
    <col min="12511" max="12511" width="3.77734375" style="312" customWidth="1"/>
    <col min="12512" max="12512" width="19" style="312" customWidth="1"/>
    <col min="12513" max="12513" width="8.88671875" style="312"/>
    <col min="12514" max="12514" width="19" style="312" customWidth="1"/>
    <col min="12515" max="12515" width="3.77734375" style="312" customWidth="1"/>
    <col min="12516" max="12516" width="19" style="312" customWidth="1"/>
    <col min="12517" max="12758" width="8.88671875" style="312"/>
    <col min="12759" max="12759" width="17.33203125" style="312" customWidth="1"/>
    <col min="12760" max="12760" width="20.88671875" style="312" customWidth="1"/>
    <col min="12761" max="12761" width="10.77734375" style="312" customWidth="1"/>
    <col min="12762" max="12762" width="19" style="312" customWidth="1"/>
    <col min="12763" max="12763" width="3.77734375" style="312" customWidth="1"/>
    <col min="12764" max="12764" width="19" style="312" customWidth="1"/>
    <col min="12765" max="12765" width="3.77734375" style="312" customWidth="1"/>
    <col min="12766" max="12766" width="19" style="312" customWidth="1"/>
    <col min="12767" max="12767" width="3.77734375" style="312" customWidth="1"/>
    <col min="12768" max="12768" width="19" style="312" customWidth="1"/>
    <col min="12769" max="12769" width="8.88671875" style="312"/>
    <col min="12770" max="12770" width="19" style="312" customWidth="1"/>
    <col min="12771" max="12771" width="3.77734375" style="312" customWidth="1"/>
    <col min="12772" max="12772" width="19" style="312" customWidth="1"/>
    <col min="12773" max="13014" width="8.88671875" style="312"/>
    <col min="13015" max="13015" width="17.33203125" style="312" customWidth="1"/>
    <col min="13016" max="13016" width="20.88671875" style="312" customWidth="1"/>
    <col min="13017" max="13017" width="10.77734375" style="312" customWidth="1"/>
    <col min="13018" max="13018" width="19" style="312" customWidth="1"/>
    <col min="13019" max="13019" width="3.77734375" style="312" customWidth="1"/>
    <col min="13020" max="13020" width="19" style="312" customWidth="1"/>
    <col min="13021" max="13021" width="3.77734375" style="312" customWidth="1"/>
    <col min="13022" max="13022" width="19" style="312" customWidth="1"/>
    <col min="13023" max="13023" width="3.77734375" style="312" customWidth="1"/>
    <col min="13024" max="13024" width="19" style="312" customWidth="1"/>
    <col min="13025" max="13025" width="8.88671875" style="312"/>
    <col min="13026" max="13026" width="19" style="312" customWidth="1"/>
    <col min="13027" max="13027" width="3.77734375" style="312" customWidth="1"/>
    <col min="13028" max="13028" width="19" style="312" customWidth="1"/>
    <col min="13029" max="13270" width="8.88671875" style="312"/>
    <col min="13271" max="13271" width="17.33203125" style="312" customWidth="1"/>
    <col min="13272" max="13272" width="20.88671875" style="312" customWidth="1"/>
    <col min="13273" max="13273" width="10.77734375" style="312" customWidth="1"/>
    <col min="13274" max="13274" width="19" style="312" customWidth="1"/>
    <col min="13275" max="13275" width="3.77734375" style="312" customWidth="1"/>
    <col min="13276" max="13276" width="19" style="312" customWidth="1"/>
    <col min="13277" max="13277" width="3.77734375" style="312" customWidth="1"/>
    <col min="13278" max="13278" width="19" style="312" customWidth="1"/>
    <col min="13279" max="13279" width="3.77734375" style="312" customWidth="1"/>
    <col min="13280" max="13280" width="19" style="312" customWidth="1"/>
    <col min="13281" max="13281" width="8.88671875" style="312"/>
    <col min="13282" max="13282" width="19" style="312" customWidth="1"/>
    <col min="13283" max="13283" width="3.77734375" style="312" customWidth="1"/>
    <col min="13284" max="13284" width="19" style="312" customWidth="1"/>
    <col min="13285" max="13526" width="8.88671875" style="312"/>
    <col min="13527" max="13527" width="17.33203125" style="312" customWidth="1"/>
    <col min="13528" max="13528" width="20.88671875" style="312" customWidth="1"/>
    <col min="13529" max="13529" width="10.77734375" style="312" customWidth="1"/>
    <col min="13530" max="13530" width="19" style="312" customWidth="1"/>
    <col min="13531" max="13531" width="3.77734375" style="312" customWidth="1"/>
    <col min="13532" max="13532" width="19" style="312" customWidth="1"/>
    <col min="13533" max="13533" width="3.77734375" style="312" customWidth="1"/>
    <col min="13534" max="13534" width="19" style="312" customWidth="1"/>
    <col min="13535" max="13535" width="3.77734375" style="312" customWidth="1"/>
    <col min="13536" max="13536" width="19" style="312" customWidth="1"/>
    <col min="13537" max="13537" width="8.88671875" style="312"/>
    <col min="13538" max="13538" width="19" style="312" customWidth="1"/>
    <col min="13539" max="13539" width="3.77734375" style="312" customWidth="1"/>
    <col min="13540" max="13540" width="19" style="312" customWidth="1"/>
    <col min="13541" max="13782" width="8.88671875" style="312"/>
    <col min="13783" max="13783" width="17.33203125" style="312" customWidth="1"/>
    <col min="13784" max="13784" width="20.88671875" style="312" customWidth="1"/>
    <col min="13785" max="13785" width="10.77734375" style="312" customWidth="1"/>
    <col min="13786" max="13786" width="19" style="312" customWidth="1"/>
    <col min="13787" max="13787" width="3.77734375" style="312" customWidth="1"/>
    <col min="13788" max="13788" width="19" style="312" customWidth="1"/>
    <col min="13789" max="13789" width="3.77734375" style="312" customWidth="1"/>
    <col min="13790" max="13790" width="19" style="312" customWidth="1"/>
    <col min="13791" max="13791" width="3.77734375" style="312" customWidth="1"/>
    <col min="13792" max="13792" width="19" style="312" customWidth="1"/>
    <col min="13793" max="13793" width="8.88671875" style="312"/>
    <col min="13794" max="13794" width="19" style="312" customWidth="1"/>
    <col min="13795" max="13795" width="3.77734375" style="312" customWidth="1"/>
    <col min="13796" max="13796" width="19" style="312" customWidth="1"/>
    <col min="13797" max="14038" width="8.88671875" style="312"/>
    <col min="14039" max="14039" width="17.33203125" style="312" customWidth="1"/>
    <col min="14040" max="14040" width="20.88671875" style="312" customWidth="1"/>
    <col min="14041" max="14041" width="10.77734375" style="312" customWidth="1"/>
    <col min="14042" max="14042" width="19" style="312" customWidth="1"/>
    <col min="14043" max="14043" width="3.77734375" style="312" customWidth="1"/>
    <col min="14044" max="14044" width="19" style="312" customWidth="1"/>
    <col min="14045" max="14045" width="3.77734375" style="312" customWidth="1"/>
    <col min="14046" max="14046" width="19" style="312" customWidth="1"/>
    <col min="14047" max="14047" width="3.77734375" style="312" customWidth="1"/>
    <col min="14048" max="14048" width="19" style="312" customWidth="1"/>
    <col min="14049" max="14049" width="8.88671875" style="312"/>
    <col min="14050" max="14050" width="19" style="312" customWidth="1"/>
    <col min="14051" max="14051" width="3.77734375" style="312" customWidth="1"/>
    <col min="14052" max="14052" width="19" style="312" customWidth="1"/>
    <col min="14053" max="14294" width="8.88671875" style="312"/>
    <col min="14295" max="14295" width="17.33203125" style="312" customWidth="1"/>
    <col min="14296" max="14296" width="20.88671875" style="312" customWidth="1"/>
    <col min="14297" max="14297" width="10.77734375" style="312" customWidth="1"/>
    <col min="14298" max="14298" width="19" style="312" customWidth="1"/>
    <col min="14299" max="14299" width="3.77734375" style="312" customWidth="1"/>
    <col min="14300" max="14300" width="19" style="312" customWidth="1"/>
    <col min="14301" max="14301" width="3.77734375" style="312" customWidth="1"/>
    <col min="14302" max="14302" width="19" style="312" customWidth="1"/>
    <col min="14303" max="14303" width="3.77734375" style="312" customWidth="1"/>
    <col min="14304" max="14304" width="19" style="312" customWidth="1"/>
    <col min="14305" max="14305" width="8.88671875" style="312"/>
    <col min="14306" max="14306" width="19" style="312" customWidth="1"/>
    <col min="14307" max="14307" width="3.77734375" style="312" customWidth="1"/>
    <col min="14308" max="14308" width="19" style="312" customWidth="1"/>
    <col min="14309" max="14550" width="8.88671875" style="312"/>
    <col min="14551" max="14551" width="17.33203125" style="312" customWidth="1"/>
    <col min="14552" max="14552" width="20.88671875" style="312" customWidth="1"/>
    <col min="14553" max="14553" width="10.77734375" style="312" customWidth="1"/>
    <col min="14554" max="14554" width="19" style="312" customWidth="1"/>
    <col min="14555" max="14555" width="3.77734375" style="312" customWidth="1"/>
    <col min="14556" max="14556" width="19" style="312" customWidth="1"/>
    <col min="14557" max="14557" width="3.77734375" style="312" customWidth="1"/>
    <col min="14558" max="14558" width="19" style="312" customWidth="1"/>
    <col min="14559" max="14559" width="3.77734375" style="312" customWidth="1"/>
    <col min="14560" max="14560" width="19" style="312" customWidth="1"/>
    <col min="14561" max="14561" width="8.88671875" style="312"/>
    <col min="14562" max="14562" width="19" style="312" customWidth="1"/>
    <col min="14563" max="14563" width="3.77734375" style="312" customWidth="1"/>
    <col min="14564" max="14564" width="19" style="312" customWidth="1"/>
    <col min="14565" max="14806" width="8.88671875" style="312"/>
    <col min="14807" max="14807" width="17.33203125" style="312" customWidth="1"/>
    <col min="14808" max="14808" width="20.88671875" style="312" customWidth="1"/>
    <col min="14809" max="14809" width="10.77734375" style="312" customWidth="1"/>
    <col min="14810" max="14810" width="19" style="312" customWidth="1"/>
    <col min="14811" max="14811" width="3.77734375" style="312" customWidth="1"/>
    <col min="14812" max="14812" width="19" style="312" customWidth="1"/>
    <col min="14813" max="14813" width="3.77734375" style="312" customWidth="1"/>
    <col min="14814" max="14814" width="19" style="312" customWidth="1"/>
    <col min="14815" max="14815" width="3.77734375" style="312" customWidth="1"/>
    <col min="14816" max="14816" width="19" style="312" customWidth="1"/>
    <col min="14817" max="14817" width="8.88671875" style="312"/>
    <col min="14818" max="14818" width="19" style="312" customWidth="1"/>
    <col min="14819" max="14819" width="3.77734375" style="312" customWidth="1"/>
    <col min="14820" max="14820" width="19" style="312" customWidth="1"/>
    <col min="14821" max="15062" width="8.88671875" style="312"/>
    <col min="15063" max="15063" width="17.33203125" style="312" customWidth="1"/>
    <col min="15064" max="15064" width="20.88671875" style="312" customWidth="1"/>
    <col min="15065" max="15065" width="10.77734375" style="312" customWidth="1"/>
    <col min="15066" max="15066" width="19" style="312" customWidth="1"/>
    <col min="15067" max="15067" width="3.77734375" style="312" customWidth="1"/>
    <col min="15068" max="15068" width="19" style="312" customWidth="1"/>
    <col min="15069" max="15069" width="3.77734375" style="312" customWidth="1"/>
    <col min="15070" max="15070" width="19" style="312" customWidth="1"/>
    <col min="15071" max="15071" width="3.77734375" style="312" customWidth="1"/>
    <col min="15072" max="15072" width="19" style="312" customWidth="1"/>
    <col min="15073" max="15073" width="8.88671875" style="312"/>
    <col min="15074" max="15074" width="19" style="312" customWidth="1"/>
    <col min="15075" max="15075" width="3.77734375" style="312" customWidth="1"/>
    <col min="15076" max="15076" width="19" style="312" customWidth="1"/>
    <col min="15077" max="15318" width="8.88671875" style="312"/>
    <col min="15319" max="15319" width="17.33203125" style="312" customWidth="1"/>
    <col min="15320" max="15320" width="20.88671875" style="312" customWidth="1"/>
    <col min="15321" max="15321" width="10.77734375" style="312" customWidth="1"/>
    <col min="15322" max="15322" width="19" style="312" customWidth="1"/>
    <col min="15323" max="15323" width="3.77734375" style="312" customWidth="1"/>
    <col min="15324" max="15324" width="19" style="312" customWidth="1"/>
    <col min="15325" max="15325" width="3.77734375" style="312" customWidth="1"/>
    <col min="15326" max="15326" width="19" style="312" customWidth="1"/>
    <col min="15327" max="15327" width="3.77734375" style="312" customWidth="1"/>
    <col min="15328" max="15328" width="19" style="312" customWidth="1"/>
    <col min="15329" max="15329" width="8.88671875" style="312"/>
    <col min="15330" max="15330" width="19" style="312" customWidth="1"/>
    <col min="15331" max="15331" width="3.77734375" style="312" customWidth="1"/>
    <col min="15332" max="15332" width="19" style="312" customWidth="1"/>
    <col min="15333" max="15574" width="8.88671875" style="312"/>
    <col min="15575" max="15575" width="17.33203125" style="312" customWidth="1"/>
    <col min="15576" max="15576" width="20.88671875" style="312" customWidth="1"/>
    <col min="15577" max="15577" width="10.77734375" style="312" customWidth="1"/>
    <col min="15578" max="15578" width="19" style="312" customWidth="1"/>
    <col min="15579" max="15579" width="3.77734375" style="312" customWidth="1"/>
    <col min="15580" max="15580" width="19" style="312" customWidth="1"/>
    <col min="15581" max="15581" width="3.77734375" style="312" customWidth="1"/>
    <col min="15582" max="15582" width="19" style="312" customWidth="1"/>
    <col min="15583" max="15583" width="3.77734375" style="312" customWidth="1"/>
    <col min="15584" max="15584" width="19" style="312" customWidth="1"/>
    <col min="15585" max="15585" width="8.88671875" style="312"/>
    <col min="15586" max="15586" width="19" style="312" customWidth="1"/>
    <col min="15587" max="15587" width="3.77734375" style="312" customWidth="1"/>
    <col min="15588" max="15588" width="19" style="312" customWidth="1"/>
    <col min="15589" max="15830" width="8.88671875" style="312"/>
    <col min="15831" max="15831" width="17.33203125" style="312" customWidth="1"/>
    <col min="15832" max="15832" width="20.88671875" style="312" customWidth="1"/>
    <col min="15833" max="15833" width="10.77734375" style="312" customWidth="1"/>
    <col min="15834" max="15834" width="19" style="312" customWidth="1"/>
    <col min="15835" max="15835" width="3.77734375" style="312" customWidth="1"/>
    <col min="15836" max="15836" width="19" style="312" customWidth="1"/>
    <col min="15837" max="15837" width="3.77734375" style="312" customWidth="1"/>
    <col min="15838" max="15838" width="19" style="312" customWidth="1"/>
    <col min="15839" max="15839" width="3.77734375" style="312" customWidth="1"/>
    <col min="15840" max="15840" width="19" style="312" customWidth="1"/>
    <col min="15841" max="15841" width="8.88671875" style="312"/>
    <col min="15842" max="15842" width="19" style="312" customWidth="1"/>
    <col min="15843" max="15843" width="3.77734375" style="312" customWidth="1"/>
    <col min="15844" max="15844" width="19" style="312" customWidth="1"/>
    <col min="15845" max="16086" width="8.88671875" style="312"/>
    <col min="16087" max="16087" width="17.33203125" style="312" customWidth="1"/>
    <col min="16088" max="16088" width="20.88671875" style="312" customWidth="1"/>
    <col min="16089" max="16089" width="10.77734375" style="312" customWidth="1"/>
    <col min="16090" max="16090" width="19" style="312" customWidth="1"/>
    <col min="16091" max="16091" width="3.77734375" style="312" customWidth="1"/>
    <col min="16092" max="16092" width="19" style="312" customWidth="1"/>
    <col min="16093" max="16093" width="3.77734375" style="312" customWidth="1"/>
    <col min="16094" max="16094" width="19" style="312" customWidth="1"/>
    <col min="16095" max="16095" width="3.77734375" style="312" customWidth="1"/>
    <col min="16096" max="16096" width="19" style="312" customWidth="1"/>
    <col min="16097" max="16097" width="8.88671875" style="312"/>
    <col min="16098" max="16098" width="19" style="312" customWidth="1"/>
    <col min="16099" max="16099" width="3.77734375" style="312" customWidth="1"/>
    <col min="16100" max="16100" width="19" style="312" customWidth="1"/>
    <col min="16101" max="16384" width="8.88671875" style="312"/>
  </cols>
  <sheetData>
    <row r="1" spans="1:26" s="302" customFormat="1" ht="15.75" x14ac:dyDescent="0.25">
      <c r="A1" s="298" t="s">
        <v>0</v>
      </c>
      <c r="B1" s="299"/>
    </row>
    <row r="2" spans="1:26" s="302" customFormat="1" ht="15.75" x14ac:dyDescent="0.25">
      <c r="A2" s="303" t="s">
        <v>191</v>
      </c>
      <c r="B2" s="304"/>
    </row>
    <row r="3" spans="1:26" s="302" customFormat="1" ht="15.75" x14ac:dyDescent="0.25">
      <c r="A3" s="306" t="s">
        <v>192</v>
      </c>
      <c r="B3" s="304"/>
    </row>
    <row r="4" spans="1:26" s="302" customFormat="1" ht="15.75" x14ac:dyDescent="0.25">
      <c r="A4" s="307" t="s">
        <v>12</v>
      </c>
      <c r="B4" s="304"/>
    </row>
    <row r="5" spans="1:26" s="302" customFormat="1" ht="15.75" x14ac:dyDescent="0.25">
      <c r="A5" s="307"/>
      <c r="B5" s="308"/>
    </row>
    <row r="6" spans="1:26" ht="16.5" thickBot="1" x14ac:dyDescent="0.3">
      <c r="A6" s="311"/>
      <c r="B6" s="311"/>
      <c r="C6" s="301"/>
      <c r="D6" s="405" t="s">
        <v>218</v>
      </c>
      <c r="E6" s="405"/>
      <c r="F6" s="405"/>
      <c r="G6" s="405"/>
      <c r="H6" s="405"/>
      <c r="J6" s="405" t="s">
        <v>219</v>
      </c>
      <c r="K6" s="405"/>
      <c r="L6" s="405"/>
      <c r="M6" s="405"/>
      <c r="N6" s="405"/>
      <c r="P6" s="405" t="s">
        <v>235</v>
      </c>
      <c r="Q6" s="405"/>
      <c r="R6" s="405"/>
      <c r="S6" s="405"/>
      <c r="T6" s="405"/>
      <c r="V6" s="405" t="s">
        <v>234</v>
      </c>
      <c r="W6" s="405"/>
      <c r="X6" s="405"/>
      <c r="Y6" s="405"/>
      <c r="Z6" s="405"/>
    </row>
    <row r="7" spans="1:26" s="316" customFormat="1" ht="68.45" customHeight="1" x14ac:dyDescent="0.25">
      <c r="A7" s="305" t="s">
        <v>13</v>
      </c>
      <c r="B7" s="305"/>
      <c r="C7" s="315"/>
      <c r="D7" s="313" t="s">
        <v>197</v>
      </c>
      <c r="E7" s="314"/>
      <c r="F7" s="313" t="s">
        <v>198</v>
      </c>
      <c r="G7" s="314"/>
      <c r="H7" s="313" t="s">
        <v>199</v>
      </c>
      <c r="J7" s="313" t="s">
        <v>197</v>
      </c>
      <c r="K7" s="314"/>
      <c r="L7" s="313" t="s">
        <v>198</v>
      </c>
      <c r="M7" s="314"/>
      <c r="N7" s="313" t="s">
        <v>199</v>
      </c>
      <c r="P7" s="313" t="s">
        <v>197</v>
      </c>
      <c r="Q7" s="314"/>
      <c r="R7" s="313" t="s">
        <v>198</v>
      </c>
      <c r="S7" s="314"/>
      <c r="T7" s="313" t="s">
        <v>199</v>
      </c>
      <c r="V7" s="313" t="s">
        <v>197</v>
      </c>
      <c r="W7" s="314"/>
      <c r="X7" s="313" t="s">
        <v>198</v>
      </c>
      <c r="Y7" s="314"/>
      <c r="Z7" s="313" t="s">
        <v>199</v>
      </c>
    </row>
    <row r="8" spans="1:26" ht="4.1500000000000004" customHeight="1" x14ac:dyDescent="0.25">
      <c r="A8" s="317"/>
      <c r="B8" s="310"/>
      <c r="C8" s="319"/>
      <c r="D8" s="320"/>
      <c r="E8" s="301"/>
      <c r="F8" s="318"/>
      <c r="G8" s="301"/>
      <c r="H8" s="318"/>
      <c r="J8" s="320"/>
      <c r="K8" s="301"/>
      <c r="L8" s="318"/>
      <c r="M8" s="301"/>
      <c r="N8" s="318"/>
      <c r="P8" s="320"/>
      <c r="Q8" s="301"/>
      <c r="R8" s="318"/>
      <c r="S8" s="301"/>
      <c r="T8" s="318"/>
      <c r="V8" s="320"/>
      <c r="W8" s="301"/>
      <c r="X8" s="318"/>
      <c r="Y8" s="301"/>
      <c r="Z8" s="318"/>
    </row>
    <row r="9" spans="1:26" ht="15.75" x14ac:dyDescent="0.25">
      <c r="A9" s="321" t="s">
        <v>97</v>
      </c>
      <c r="B9" s="310"/>
      <c r="C9" s="331"/>
      <c r="D9" s="322">
        <f>D78</f>
        <v>3799</v>
      </c>
      <c r="E9" s="314"/>
      <c r="F9" s="322">
        <f>F78</f>
        <v>0</v>
      </c>
      <c r="G9" s="322"/>
      <c r="H9" s="322">
        <f>H78</f>
        <v>3799</v>
      </c>
      <c r="I9" s="322"/>
      <c r="J9" s="322">
        <f>J78-D78</f>
        <v>4375</v>
      </c>
      <c r="K9" s="314"/>
      <c r="L9" s="322">
        <f>L78-F78</f>
        <v>0</v>
      </c>
      <c r="M9" s="322"/>
      <c r="N9" s="322">
        <f>N78-H78</f>
        <v>4375</v>
      </c>
      <c r="P9" s="322">
        <v>4188</v>
      </c>
      <c r="Q9" s="314"/>
      <c r="R9" s="322">
        <f>R78-L78</f>
        <v>0</v>
      </c>
      <c r="S9" s="322"/>
      <c r="T9" s="322">
        <f>T78-N78</f>
        <v>4188</v>
      </c>
      <c r="V9" s="322">
        <f>V78-P78</f>
        <v>5407</v>
      </c>
      <c r="W9" s="314"/>
      <c r="X9" s="322">
        <f>X78-R78</f>
        <v>0</v>
      </c>
      <c r="Y9" s="322"/>
      <c r="Z9" s="322">
        <f>Z78-T78</f>
        <v>5407</v>
      </c>
    </row>
    <row r="10" spans="1:26" ht="1.9" customHeight="1" x14ac:dyDescent="0.25">
      <c r="A10" s="321"/>
      <c r="B10" s="310"/>
      <c r="C10" s="331"/>
      <c r="D10" s="322"/>
      <c r="E10" s="314"/>
      <c r="F10" s="322"/>
      <c r="G10" s="322"/>
      <c r="H10" s="322"/>
      <c r="I10" s="322"/>
      <c r="J10" s="322"/>
      <c r="K10" s="314"/>
      <c r="L10" s="322"/>
      <c r="M10" s="322"/>
      <c r="N10" s="322"/>
      <c r="P10" s="322"/>
      <c r="Q10" s="314"/>
      <c r="R10" s="322"/>
      <c r="S10" s="322"/>
      <c r="T10" s="322"/>
      <c r="V10" s="322">
        <f>V79-T79</f>
        <v>0</v>
      </c>
      <c r="W10" s="314"/>
      <c r="X10" s="322"/>
      <c r="Y10" s="322"/>
      <c r="Z10" s="322"/>
    </row>
    <row r="11" spans="1:26" ht="15.75" x14ac:dyDescent="0.25">
      <c r="A11" s="321" t="s">
        <v>200</v>
      </c>
      <c r="B11" s="310"/>
      <c r="C11" s="331"/>
      <c r="D11" s="323">
        <f>D80</f>
        <v>1334</v>
      </c>
      <c r="E11" s="324"/>
      <c r="F11" s="323">
        <f>F80</f>
        <v>-1334</v>
      </c>
      <c r="G11" s="324"/>
      <c r="H11" s="323">
        <f>H80</f>
        <v>0</v>
      </c>
      <c r="I11" s="371"/>
      <c r="J11" s="326">
        <f>J80-D80</f>
        <v>1337</v>
      </c>
      <c r="K11" s="324"/>
      <c r="L11" s="326">
        <f>L80-F80</f>
        <v>-1337</v>
      </c>
      <c r="M11" s="324"/>
      <c r="N11" s="326">
        <f>N80-H80</f>
        <v>0</v>
      </c>
      <c r="P11" s="326">
        <v>0</v>
      </c>
      <c r="Q11" s="324"/>
      <c r="R11" s="326">
        <v>0</v>
      </c>
      <c r="S11" s="324"/>
      <c r="T11" s="326">
        <f t="shared" ref="R11:Z17" si="0">T80-N80</f>
        <v>0</v>
      </c>
      <c r="V11" s="326">
        <f>V80-P80</f>
        <v>0</v>
      </c>
      <c r="W11" s="324"/>
      <c r="X11" s="325">
        <f t="shared" si="0"/>
        <v>0</v>
      </c>
      <c r="Y11" s="324"/>
      <c r="Z11" s="326">
        <f t="shared" si="0"/>
        <v>0</v>
      </c>
    </row>
    <row r="12" spans="1:26" ht="3" customHeight="1" x14ac:dyDescent="0.25">
      <c r="A12" s="321"/>
      <c r="B12" s="310"/>
      <c r="C12" s="331"/>
      <c r="D12" s="323"/>
      <c r="E12" s="324"/>
      <c r="F12" s="323"/>
      <c r="G12" s="324"/>
      <c r="H12" s="323"/>
      <c r="I12" s="371"/>
      <c r="J12" s="326"/>
      <c r="K12" s="324"/>
      <c r="L12" s="326"/>
      <c r="M12" s="324"/>
      <c r="N12" s="326"/>
      <c r="P12" s="326">
        <v>0</v>
      </c>
      <c r="Q12" s="324"/>
      <c r="R12" s="326">
        <f t="shared" si="0"/>
        <v>0</v>
      </c>
      <c r="S12" s="324"/>
      <c r="T12" s="326">
        <f t="shared" si="0"/>
        <v>0</v>
      </c>
      <c r="V12" s="326">
        <f>V81-T81</f>
        <v>0</v>
      </c>
      <c r="W12" s="324"/>
      <c r="X12" s="325">
        <f t="shared" si="0"/>
        <v>0</v>
      </c>
      <c r="Y12" s="324"/>
      <c r="Z12" s="326">
        <f t="shared" si="0"/>
        <v>0</v>
      </c>
    </row>
    <row r="13" spans="1:26" s="316" customFormat="1" ht="15.75" x14ac:dyDescent="0.25">
      <c r="A13" s="321" t="s">
        <v>98</v>
      </c>
      <c r="B13" s="310"/>
      <c r="C13" s="334"/>
      <c r="D13" s="323">
        <f>D82</f>
        <v>1434</v>
      </c>
      <c r="E13" s="324"/>
      <c r="F13" s="325">
        <f>F82</f>
        <v>0</v>
      </c>
      <c r="G13" s="324"/>
      <c r="H13" s="323">
        <f>H82</f>
        <v>1434</v>
      </c>
      <c r="I13" s="371"/>
      <c r="J13" s="326">
        <f>J82-D82</f>
        <v>1680</v>
      </c>
      <c r="K13" s="324"/>
      <c r="L13" s="325">
        <f>L82-F82</f>
        <v>0</v>
      </c>
      <c r="M13" s="324"/>
      <c r="N13" s="326">
        <f>N82-H82</f>
        <v>1680</v>
      </c>
      <c r="P13" s="326">
        <v>1737</v>
      </c>
      <c r="Q13" s="324"/>
      <c r="R13" s="325">
        <f t="shared" si="0"/>
        <v>0</v>
      </c>
      <c r="S13" s="324"/>
      <c r="T13" s="326">
        <f t="shared" si="0"/>
        <v>1737</v>
      </c>
      <c r="V13" s="326">
        <f>V82-P82</f>
        <v>1757</v>
      </c>
      <c r="W13" s="324"/>
      <c r="X13" s="325">
        <f t="shared" si="0"/>
        <v>0</v>
      </c>
      <c r="Y13" s="324"/>
      <c r="Z13" s="326">
        <f t="shared" si="0"/>
        <v>1757</v>
      </c>
    </row>
    <row r="14" spans="1:26" s="316" customFormat="1" ht="3" customHeight="1" x14ac:dyDescent="0.25">
      <c r="A14" s="321"/>
      <c r="B14" s="310"/>
      <c r="C14" s="334"/>
      <c r="D14" s="323"/>
      <c r="E14" s="324"/>
      <c r="F14" s="325"/>
      <c r="G14" s="324"/>
      <c r="H14" s="323"/>
      <c r="I14" s="371"/>
      <c r="J14" s="326"/>
      <c r="K14" s="324"/>
      <c r="L14" s="325"/>
      <c r="M14" s="324"/>
      <c r="N14" s="326"/>
      <c r="P14" s="326">
        <v>0</v>
      </c>
      <c r="Q14" s="324"/>
      <c r="R14" s="325">
        <f t="shared" si="0"/>
        <v>0</v>
      </c>
      <c r="S14" s="324"/>
      <c r="T14" s="326">
        <f t="shared" si="0"/>
        <v>0</v>
      </c>
      <c r="V14" s="326">
        <f>V83-T83</f>
        <v>0</v>
      </c>
      <c r="W14" s="324"/>
      <c r="X14" s="325">
        <f t="shared" si="0"/>
        <v>0</v>
      </c>
      <c r="Y14" s="324"/>
      <c r="Z14" s="326">
        <f t="shared" si="0"/>
        <v>0</v>
      </c>
    </row>
    <row r="15" spans="1:26" s="316" customFormat="1" ht="15.75" x14ac:dyDescent="0.25">
      <c r="A15" s="321" t="s">
        <v>126</v>
      </c>
      <c r="B15" s="310"/>
      <c r="C15" s="334"/>
      <c r="D15" s="323">
        <f>D84</f>
        <v>3004</v>
      </c>
      <c r="E15" s="324"/>
      <c r="F15" s="325">
        <f>F84</f>
        <v>0</v>
      </c>
      <c r="G15" s="324"/>
      <c r="H15" s="323">
        <f>H84</f>
        <v>3004</v>
      </c>
      <c r="I15" s="371"/>
      <c r="J15" s="326">
        <f>J84-D84</f>
        <v>3303</v>
      </c>
      <c r="K15" s="324"/>
      <c r="L15" s="325">
        <f>L84-F84</f>
        <v>0</v>
      </c>
      <c r="M15" s="324"/>
      <c r="N15" s="326">
        <f>N84-H84</f>
        <v>3303</v>
      </c>
      <c r="P15" s="326">
        <v>3346</v>
      </c>
      <c r="Q15" s="324"/>
      <c r="R15" s="325">
        <f t="shared" si="0"/>
        <v>0</v>
      </c>
      <c r="S15" s="324"/>
      <c r="T15" s="326">
        <f t="shared" si="0"/>
        <v>3346</v>
      </c>
      <c r="V15" s="326">
        <f>V84-P84</f>
        <v>3809</v>
      </c>
      <c r="W15" s="324"/>
      <c r="X15" s="325">
        <f t="shared" si="0"/>
        <v>0</v>
      </c>
      <c r="Y15" s="324"/>
      <c r="Z15" s="326">
        <f t="shared" si="0"/>
        <v>3809</v>
      </c>
    </row>
    <row r="16" spans="1:26" s="316" customFormat="1" ht="3.6" customHeight="1" x14ac:dyDescent="0.25">
      <c r="A16" s="321"/>
      <c r="B16" s="310"/>
      <c r="C16" s="334"/>
      <c r="D16" s="323"/>
      <c r="E16" s="324"/>
      <c r="F16" s="325"/>
      <c r="G16" s="324"/>
      <c r="H16" s="323"/>
      <c r="I16" s="371"/>
      <c r="J16" s="326"/>
      <c r="K16" s="324"/>
      <c r="L16" s="325"/>
      <c r="M16" s="324"/>
      <c r="N16" s="326"/>
      <c r="P16" s="326">
        <v>0</v>
      </c>
      <c r="Q16" s="324"/>
      <c r="R16" s="325">
        <f t="shared" si="0"/>
        <v>0</v>
      </c>
      <c r="S16" s="324"/>
      <c r="T16" s="326">
        <f t="shared" si="0"/>
        <v>0</v>
      </c>
      <c r="V16" s="326">
        <f>V85-T85</f>
        <v>0</v>
      </c>
      <c r="W16" s="324"/>
      <c r="X16" s="325">
        <f t="shared" si="0"/>
        <v>0</v>
      </c>
      <c r="Y16" s="324"/>
      <c r="Z16" s="326">
        <f t="shared" si="0"/>
        <v>0</v>
      </c>
    </row>
    <row r="17" spans="1:26" s="316" customFormat="1" ht="15.75" x14ac:dyDescent="0.25">
      <c r="A17" s="321" t="s">
        <v>99</v>
      </c>
      <c r="B17" s="310"/>
      <c r="C17" s="334"/>
      <c r="D17" s="323">
        <f t="shared" ref="D17:F17" si="1">D86</f>
        <v>2131</v>
      </c>
      <c r="E17" s="327"/>
      <c r="F17" s="325">
        <f t="shared" si="1"/>
        <v>0</v>
      </c>
      <c r="G17" s="327"/>
      <c r="H17" s="323">
        <f t="shared" ref="H17" si="2">H86</f>
        <v>2131</v>
      </c>
      <c r="I17" s="327"/>
      <c r="J17" s="326">
        <f>J86-D86</f>
        <v>2219</v>
      </c>
      <c r="K17" s="327"/>
      <c r="L17" s="325">
        <f>L86-F86</f>
        <v>0</v>
      </c>
      <c r="M17" s="327"/>
      <c r="N17" s="326">
        <f>N86-H86</f>
        <v>2219</v>
      </c>
      <c r="P17" s="326">
        <v>2280</v>
      </c>
      <c r="Q17" s="327"/>
      <c r="R17" s="325">
        <f t="shared" si="0"/>
        <v>0</v>
      </c>
      <c r="S17" s="327"/>
      <c r="T17" s="326">
        <f t="shared" si="0"/>
        <v>2280</v>
      </c>
      <c r="V17" s="326">
        <f>V86-P86</f>
        <v>2779</v>
      </c>
      <c r="W17" s="327"/>
      <c r="X17" s="325">
        <f t="shared" si="0"/>
        <v>0</v>
      </c>
      <c r="Y17" s="327"/>
      <c r="Z17" s="326">
        <f t="shared" si="0"/>
        <v>2779</v>
      </c>
    </row>
    <row r="18" spans="1:26" s="316" customFormat="1" ht="3.6" customHeight="1" x14ac:dyDescent="0.25">
      <c r="A18" s="321"/>
      <c r="B18" s="310"/>
      <c r="C18" s="334"/>
      <c r="D18" s="318"/>
      <c r="E18" s="319"/>
      <c r="F18" s="318"/>
      <c r="G18" s="319"/>
      <c r="H18" s="318"/>
      <c r="I18" s="319"/>
      <c r="J18" s="318"/>
      <c r="K18" s="319"/>
      <c r="L18" s="318"/>
      <c r="M18" s="319"/>
      <c r="N18" s="318"/>
      <c r="P18" s="318"/>
      <c r="Q18" s="319"/>
      <c r="R18" s="318">
        <v>0</v>
      </c>
      <c r="S18" s="319"/>
      <c r="T18" s="318"/>
      <c r="V18" s="318">
        <f>V87-T87</f>
        <v>0</v>
      </c>
      <c r="W18" s="319"/>
      <c r="X18" s="318"/>
      <c r="Y18" s="319"/>
      <c r="Z18" s="318"/>
    </row>
    <row r="19" spans="1:26" ht="15.75" x14ac:dyDescent="0.25">
      <c r="A19" s="328" t="s">
        <v>2</v>
      </c>
      <c r="B19" s="305"/>
      <c r="C19" s="334"/>
      <c r="D19" s="329">
        <f>SUM(D9:D17)</f>
        <v>11702</v>
      </c>
      <c r="E19" s="330"/>
      <c r="F19" s="329">
        <f>SUM(F9:F17)</f>
        <v>-1334</v>
      </c>
      <c r="G19" s="330"/>
      <c r="H19" s="329">
        <f>SUM(H9:H17)</f>
        <v>10368</v>
      </c>
      <c r="I19" s="331"/>
      <c r="J19" s="329">
        <f>J88-D88</f>
        <v>12914</v>
      </c>
      <c r="K19" s="331"/>
      <c r="L19" s="329">
        <f>L88-F88</f>
        <v>-1337</v>
      </c>
      <c r="M19" s="331"/>
      <c r="N19" s="329">
        <f>N88-H88</f>
        <v>11577</v>
      </c>
      <c r="P19" s="329">
        <v>11551</v>
      </c>
      <c r="Q19" s="331"/>
      <c r="R19" s="336">
        <f>SUM(R9:R17)</f>
        <v>0</v>
      </c>
      <c r="S19" s="331"/>
      <c r="T19" s="329">
        <f>T88-N88</f>
        <v>11551</v>
      </c>
      <c r="V19" s="329">
        <f>SUM(V9:V18)</f>
        <v>13752</v>
      </c>
      <c r="W19" s="331"/>
      <c r="X19" s="377">
        <v>0</v>
      </c>
      <c r="Y19" s="331"/>
      <c r="Z19" s="329">
        <f>SUM(Z9:Z17)</f>
        <v>13752</v>
      </c>
    </row>
    <row r="20" spans="1:26" ht="4.1500000000000004" customHeight="1" x14ac:dyDescent="0.25">
      <c r="A20" s="328"/>
      <c r="B20" s="305"/>
      <c r="C20" s="334"/>
      <c r="D20" s="333"/>
      <c r="E20" s="331"/>
      <c r="F20" s="333"/>
      <c r="G20" s="331"/>
      <c r="H20" s="333"/>
      <c r="I20" s="331"/>
      <c r="J20" s="333"/>
      <c r="K20" s="331"/>
      <c r="L20" s="333"/>
      <c r="M20" s="331"/>
      <c r="N20" s="333"/>
      <c r="P20" s="333"/>
      <c r="Q20" s="331"/>
      <c r="R20" s="333"/>
      <c r="S20" s="331"/>
      <c r="T20" s="333"/>
      <c r="V20" s="333">
        <f>V89-T89</f>
        <v>0</v>
      </c>
      <c r="W20" s="331"/>
      <c r="X20" s="333"/>
      <c r="Y20" s="331"/>
      <c r="Z20" s="333"/>
    </row>
    <row r="21" spans="1:26" ht="15.75" x14ac:dyDescent="0.25">
      <c r="A21" s="321" t="s">
        <v>97</v>
      </c>
      <c r="B21" s="305"/>
      <c r="C21" s="334"/>
      <c r="D21" s="333">
        <f>D90</f>
        <v>420</v>
      </c>
      <c r="E21" s="334"/>
      <c r="F21" s="333">
        <f>F90</f>
        <v>0</v>
      </c>
      <c r="G21" s="334"/>
      <c r="H21" s="333">
        <f>H90</f>
        <v>420</v>
      </c>
      <c r="I21" s="334"/>
      <c r="J21" s="326">
        <f>J90-D90</f>
        <v>478</v>
      </c>
      <c r="K21" s="334"/>
      <c r="L21" s="333">
        <f>L90-F90</f>
        <v>0</v>
      </c>
      <c r="M21" s="334"/>
      <c r="N21" s="326">
        <f>N90-H90</f>
        <v>478</v>
      </c>
      <c r="P21" s="326">
        <v>437</v>
      </c>
      <c r="Q21" s="334"/>
      <c r="R21" s="333">
        <f>R90-L90</f>
        <v>0</v>
      </c>
      <c r="S21" s="334"/>
      <c r="T21" s="326">
        <f>T90-N90</f>
        <v>437</v>
      </c>
      <c r="V21" s="326">
        <f>V90-P90</f>
        <v>552</v>
      </c>
      <c r="W21" s="334"/>
      <c r="X21" s="333">
        <f>X90-R90</f>
        <v>0</v>
      </c>
      <c r="Y21" s="334"/>
      <c r="Z21" s="326">
        <f>Z90-T90</f>
        <v>552</v>
      </c>
    </row>
    <row r="22" spans="1:26" ht="3.6" customHeight="1" x14ac:dyDescent="0.25">
      <c r="A22" s="321"/>
      <c r="B22" s="305"/>
      <c r="C22" s="334"/>
      <c r="D22" s="333"/>
      <c r="E22" s="334"/>
      <c r="F22" s="333"/>
      <c r="G22" s="334"/>
      <c r="H22" s="333"/>
      <c r="I22" s="334"/>
      <c r="J22" s="326"/>
      <c r="K22" s="334"/>
      <c r="L22" s="333"/>
      <c r="M22" s="334"/>
      <c r="N22" s="326"/>
      <c r="P22" s="326"/>
      <c r="Q22" s="334"/>
      <c r="R22" s="333"/>
      <c r="S22" s="334"/>
      <c r="T22" s="326"/>
      <c r="V22" s="326">
        <f>V91-T91</f>
        <v>0</v>
      </c>
      <c r="W22" s="334"/>
      <c r="X22" s="333"/>
      <c r="Y22" s="334"/>
      <c r="Z22" s="326"/>
    </row>
    <row r="23" spans="1:26" ht="15.75" x14ac:dyDescent="0.25">
      <c r="A23" s="321" t="s">
        <v>200</v>
      </c>
      <c r="B23" s="305"/>
      <c r="C23" s="334"/>
      <c r="D23" s="333">
        <f>D92</f>
        <v>109</v>
      </c>
      <c r="E23" s="334"/>
      <c r="F23" s="333">
        <f>F92</f>
        <v>-109</v>
      </c>
      <c r="G23" s="334"/>
      <c r="H23" s="333">
        <f>H92</f>
        <v>0</v>
      </c>
      <c r="I23" s="334"/>
      <c r="J23" s="326">
        <f>J92-D92</f>
        <v>151</v>
      </c>
      <c r="K23" s="334"/>
      <c r="L23" s="333">
        <f>L92-F92</f>
        <v>-151</v>
      </c>
      <c r="M23" s="334"/>
      <c r="N23" s="326">
        <f>N92-H92</f>
        <v>0</v>
      </c>
      <c r="P23" s="326">
        <v>0</v>
      </c>
      <c r="Q23" s="334"/>
      <c r="R23" s="333">
        <v>0</v>
      </c>
      <c r="S23" s="334"/>
      <c r="T23" s="326">
        <f>T92-N92</f>
        <v>0</v>
      </c>
      <c r="V23" s="326">
        <f>V92-P92</f>
        <v>0</v>
      </c>
      <c r="W23" s="334"/>
      <c r="X23" s="333">
        <v>0</v>
      </c>
      <c r="Y23" s="334"/>
      <c r="Z23" s="326">
        <f>Z92-T92</f>
        <v>0</v>
      </c>
    </row>
    <row r="24" spans="1:26" ht="3.6" customHeight="1" x14ac:dyDescent="0.25">
      <c r="A24" s="321"/>
      <c r="B24" s="305"/>
      <c r="C24" s="334"/>
      <c r="D24" s="333"/>
      <c r="E24" s="334"/>
      <c r="F24" s="333"/>
      <c r="G24" s="334"/>
      <c r="H24" s="333"/>
      <c r="I24" s="334"/>
      <c r="J24" s="326"/>
      <c r="K24" s="334"/>
      <c r="L24" s="333"/>
      <c r="M24" s="334"/>
      <c r="N24" s="326"/>
      <c r="P24" s="326"/>
      <c r="Q24" s="334"/>
      <c r="R24" s="333"/>
      <c r="S24" s="334"/>
      <c r="T24" s="326"/>
      <c r="V24" s="326">
        <f>V93-T93</f>
        <v>0</v>
      </c>
      <c r="W24" s="334"/>
      <c r="X24" s="333"/>
      <c r="Y24" s="334"/>
      <c r="Z24" s="326"/>
    </row>
    <row r="25" spans="1:26" ht="15.75" x14ac:dyDescent="0.25">
      <c r="A25" s="321" t="s">
        <v>98</v>
      </c>
      <c r="B25" s="305"/>
      <c r="C25" s="334"/>
      <c r="D25" s="333">
        <f>D94</f>
        <v>221</v>
      </c>
      <c r="E25" s="334"/>
      <c r="F25" s="333">
        <f>F94</f>
        <v>0</v>
      </c>
      <c r="G25" s="334"/>
      <c r="H25" s="333">
        <f>H94</f>
        <v>221</v>
      </c>
      <c r="I25" s="334"/>
      <c r="J25" s="326">
        <f>J94-D94</f>
        <v>253</v>
      </c>
      <c r="K25" s="334"/>
      <c r="L25" s="333">
        <f>L94-F94</f>
        <v>0</v>
      </c>
      <c r="M25" s="334"/>
      <c r="N25" s="326">
        <f>N94-H94</f>
        <v>253</v>
      </c>
      <c r="P25" s="326">
        <v>289</v>
      </c>
      <c r="Q25" s="334"/>
      <c r="R25" s="333">
        <f>R94-L94</f>
        <v>0</v>
      </c>
      <c r="S25" s="334"/>
      <c r="T25" s="326">
        <f>T94-N94</f>
        <v>289</v>
      </c>
      <c r="V25" s="326">
        <f>V94-P94</f>
        <v>255</v>
      </c>
      <c r="W25" s="334"/>
      <c r="X25" s="333">
        <f>X94-R94</f>
        <v>0</v>
      </c>
      <c r="Y25" s="334"/>
      <c r="Z25" s="326">
        <f>Z94-T94</f>
        <v>255</v>
      </c>
    </row>
    <row r="26" spans="1:26" ht="3.6" customHeight="1" x14ac:dyDescent="0.25">
      <c r="A26" s="321"/>
      <c r="B26" s="305"/>
      <c r="C26" s="334"/>
      <c r="D26" s="333"/>
      <c r="E26" s="334"/>
      <c r="F26" s="333"/>
      <c r="G26" s="334"/>
      <c r="H26" s="333"/>
      <c r="I26" s="334"/>
      <c r="J26" s="326"/>
      <c r="K26" s="334"/>
      <c r="L26" s="333"/>
      <c r="M26" s="334"/>
      <c r="N26" s="326"/>
      <c r="P26" s="326">
        <v>0</v>
      </c>
      <c r="Q26" s="334"/>
      <c r="R26" s="333">
        <f>R95-L95</f>
        <v>0</v>
      </c>
      <c r="S26" s="334"/>
      <c r="T26" s="326">
        <f>T95-N95</f>
        <v>0</v>
      </c>
      <c r="V26" s="326">
        <f>V95-T95</f>
        <v>0</v>
      </c>
      <c r="W26" s="334"/>
      <c r="X26" s="333">
        <f>X95-R95</f>
        <v>0</v>
      </c>
      <c r="Y26" s="334"/>
      <c r="Z26" s="326">
        <f>Z95-T95</f>
        <v>0</v>
      </c>
    </row>
    <row r="27" spans="1:26" ht="15.75" x14ac:dyDescent="0.25">
      <c r="A27" s="321" t="s">
        <v>126</v>
      </c>
      <c r="B27" s="305"/>
      <c r="C27" s="334"/>
      <c r="D27" s="333">
        <f>D96</f>
        <v>229</v>
      </c>
      <c r="E27" s="334"/>
      <c r="F27" s="333">
        <f>F96</f>
        <v>0</v>
      </c>
      <c r="G27" s="334"/>
      <c r="H27" s="333">
        <f>H96</f>
        <v>229</v>
      </c>
      <c r="I27" s="334"/>
      <c r="J27" s="326">
        <f>J96-D96</f>
        <v>202</v>
      </c>
      <c r="K27" s="334"/>
      <c r="L27" s="333">
        <f>L96-F96</f>
        <v>0</v>
      </c>
      <c r="M27" s="334"/>
      <c r="N27" s="326">
        <f>N96-H96</f>
        <v>202</v>
      </c>
      <c r="P27" s="326">
        <v>247</v>
      </c>
      <c r="Q27" s="334"/>
      <c r="R27" s="333">
        <f>R96-L96</f>
        <v>0</v>
      </c>
      <c r="S27" s="334"/>
      <c r="T27" s="326">
        <f>T96-N96</f>
        <v>247</v>
      </c>
      <c r="V27" s="326">
        <f>V96-P96</f>
        <v>228</v>
      </c>
      <c r="W27" s="334"/>
      <c r="X27" s="333">
        <f>X96-R96</f>
        <v>0</v>
      </c>
      <c r="Y27" s="334"/>
      <c r="Z27" s="326">
        <f>Z96-T96</f>
        <v>228</v>
      </c>
    </row>
    <row r="28" spans="1:26" ht="3" customHeight="1" x14ac:dyDescent="0.25">
      <c r="A28" s="321"/>
      <c r="B28" s="305"/>
      <c r="C28" s="334"/>
      <c r="D28" s="333"/>
      <c r="E28" s="334"/>
      <c r="F28" s="333"/>
      <c r="G28" s="334"/>
      <c r="H28" s="333"/>
      <c r="I28" s="334"/>
      <c r="J28" s="326"/>
      <c r="K28" s="334"/>
      <c r="L28" s="333"/>
      <c r="M28" s="334"/>
      <c r="N28" s="326"/>
      <c r="P28" s="326">
        <v>0</v>
      </c>
      <c r="Q28" s="334"/>
      <c r="R28" s="333">
        <f>R97-L97</f>
        <v>0</v>
      </c>
      <c r="S28" s="334"/>
      <c r="T28" s="326">
        <f>T97-N97</f>
        <v>0</v>
      </c>
      <c r="V28" s="326">
        <f>V97-T97</f>
        <v>0</v>
      </c>
      <c r="W28" s="334"/>
      <c r="X28" s="333">
        <f>X97-R97</f>
        <v>0</v>
      </c>
      <c r="Y28" s="334"/>
      <c r="Z28" s="326">
        <f>Z97-T97</f>
        <v>0</v>
      </c>
    </row>
    <row r="29" spans="1:26" ht="15.75" x14ac:dyDescent="0.25">
      <c r="A29" s="321" t="s">
        <v>99</v>
      </c>
      <c r="B29" s="305"/>
      <c r="C29" s="334"/>
      <c r="D29" s="333">
        <f>D98</f>
        <v>244</v>
      </c>
      <c r="E29" s="334"/>
      <c r="F29" s="333">
        <f>F98</f>
        <v>0</v>
      </c>
      <c r="G29" s="334"/>
      <c r="H29" s="333">
        <f>H98</f>
        <v>244</v>
      </c>
      <c r="I29" s="334"/>
      <c r="J29" s="326">
        <f>J98-D98</f>
        <v>340</v>
      </c>
      <c r="K29" s="334"/>
      <c r="L29" s="333">
        <f>L98-F98</f>
        <v>0</v>
      </c>
      <c r="M29" s="334"/>
      <c r="N29" s="326">
        <f>N98-H98</f>
        <v>340</v>
      </c>
      <c r="P29" s="326">
        <v>450</v>
      </c>
      <c r="Q29" s="334"/>
      <c r="R29" s="333">
        <f>R98-L98</f>
        <v>0</v>
      </c>
      <c r="S29" s="334"/>
      <c r="T29" s="326">
        <f>T98-N98</f>
        <v>450</v>
      </c>
      <c r="V29" s="326">
        <f>V98-P98</f>
        <v>255</v>
      </c>
      <c r="W29" s="334"/>
      <c r="X29" s="333">
        <f>X98-R98</f>
        <v>0</v>
      </c>
      <c r="Y29" s="334"/>
      <c r="Z29" s="326">
        <f>Z98-T98</f>
        <v>255</v>
      </c>
    </row>
    <row r="30" spans="1:26" ht="4.9000000000000004" customHeight="1" x14ac:dyDescent="0.25">
      <c r="A30" s="335"/>
      <c r="B30" s="305"/>
      <c r="C30" s="334"/>
      <c r="D30" s="333"/>
      <c r="E30" s="334"/>
      <c r="F30" s="333"/>
      <c r="G30" s="334"/>
      <c r="H30" s="333"/>
      <c r="I30" s="334"/>
      <c r="J30" s="333"/>
      <c r="K30" s="334"/>
      <c r="L30" s="333"/>
      <c r="M30" s="334"/>
      <c r="N30" s="333"/>
      <c r="P30" s="333"/>
      <c r="Q30" s="334"/>
      <c r="R30" s="333"/>
      <c r="S30" s="334"/>
      <c r="T30" s="333"/>
      <c r="V30" s="333">
        <f>V99-T99</f>
        <v>0</v>
      </c>
      <c r="W30" s="334"/>
      <c r="X30" s="333"/>
      <c r="Y30" s="334"/>
      <c r="Z30" s="333"/>
    </row>
    <row r="31" spans="1:26" ht="15.75" x14ac:dyDescent="0.25">
      <c r="A31" s="328" t="s">
        <v>201</v>
      </c>
      <c r="B31" s="305"/>
      <c r="C31" s="334"/>
      <c r="D31" s="336">
        <f>SUM(D21:D29)</f>
        <v>1223</v>
      </c>
      <c r="E31" s="334"/>
      <c r="F31" s="336">
        <f>SUM(F21:F29)</f>
        <v>-109</v>
      </c>
      <c r="G31" s="334"/>
      <c r="H31" s="336">
        <f>SUM(H21:H29)</f>
        <v>1114</v>
      </c>
      <c r="I31" s="334"/>
      <c r="J31" s="336">
        <f>J100-D100</f>
        <v>1424</v>
      </c>
      <c r="K31" s="334"/>
      <c r="L31" s="336">
        <f>L100-F100</f>
        <v>-151</v>
      </c>
      <c r="M31" s="334"/>
      <c r="N31" s="336">
        <f>N100-H100</f>
        <v>1273</v>
      </c>
      <c r="P31" s="336">
        <v>1423</v>
      </c>
      <c r="Q31" s="334"/>
      <c r="R31" s="336">
        <v>0</v>
      </c>
      <c r="S31" s="334"/>
      <c r="T31" s="336">
        <f>T100-N100</f>
        <v>1423</v>
      </c>
      <c r="V31" s="336">
        <f>SUM(V20:V30)</f>
        <v>1290</v>
      </c>
      <c r="W31" s="334"/>
      <c r="X31" s="336">
        <f>SUM(X21:X29)</f>
        <v>0</v>
      </c>
      <c r="Y31" s="334"/>
      <c r="Z31" s="336">
        <f>SUM(Z21:Z29)</f>
        <v>1290</v>
      </c>
    </row>
    <row r="32" spans="1:26" ht="6" customHeight="1" x14ac:dyDescent="0.25">
      <c r="A32" s="328"/>
      <c r="B32" s="305"/>
      <c r="C32" s="334"/>
      <c r="D32" s="333"/>
      <c r="E32" s="334"/>
      <c r="F32" s="333"/>
      <c r="G32" s="334"/>
      <c r="H32" s="333"/>
      <c r="I32" s="334"/>
      <c r="J32" s="333"/>
      <c r="K32" s="334"/>
      <c r="L32" s="333"/>
      <c r="M32" s="334"/>
      <c r="N32" s="333"/>
      <c r="P32" s="333"/>
      <c r="Q32" s="334"/>
      <c r="R32" s="333"/>
      <c r="S32" s="334"/>
      <c r="T32" s="333"/>
      <c r="V32" s="333">
        <f>V101-T101</f>
        <v>0</v>
      </c>
      <c r="W32" s="334"/>
      <c r="X32" s="333"/>
      <c r="Y32" s="334"/>
      <c r="Z32" s="333"/>
    </row>
    <row r="33" spans="1:26" ht="15.75" x14ac:dyDescent="0.25">
      <c r="A33" s="335" t="s">
        <v>202</v>
      </c>
      <c r="B33" s="305"/>
      <c r="C33" s="334"/>
      <c r="D33" s="333">
        <f>D102</f>
        <v>74</v>
      </c>
      <c r="E33" s="334"/>
      <c r="F33" s="333">
        <f>F102</f>
        <v>-30</v>
      </c>
      <c r="G33" s="334"/>
      <c r="H33" s="333">
        <f>H102</f>
        <v>44</v>
      </c>
      <c r="I33" s="334"/>
      <c r="J33" s="326">
        <f>J102-D102</f>
        <v>142</v>
      </c>
      <c r="K33" s="334"/>
      <c r="L33" s="326">
        <f>L102-F102</f>
        <v>-40</v>
      </c>
      <c r="M33" s="334"/>
      <c r="N33" s="326">
        <f>N102-H102</f>
        <v>102</v>
      </c>
      <c r="P33" s="326">
        <v>165</v>
      </c>
      <c r="Q33" s="334"/>
      <c r="R33" s="333">
        <v>0</v>
      </c>
      <c r="S33" s="334"/>
      <c r="T33" s="326">
        <f>P33+R33</f>
        <v>165</v>
      </c>
      <c r="V33" s="326">
        <f>V102-P102</f>
        <v>138</v>
      </c>
      <c r="W33" s="334"/>
      <c r="X33" s="333">
        <f>X102-R102</f>
        <v>0</v>
      </c>
      <c r="Y33" s="334"/>
      <c r="Z33" s="326">
        <f>V33+X33</f>
        <v>138</v>
      </c>
    </row>
    <row r="34" spans="1:26" ht="6" customHeight="1" x14ac:dyDescent="0.25">
      <c r="A34" s="335"/>
      <c r="B34" s="305"/>
      <c r="C34" s="334"/>
      <c r="D34" s="333"/>
      <c r="E34" s="334"/>
      <c r="F34" s="333"/>
      <c r="G34" s="334"/>
      <c r="H34" s="333"/>
      <c r="I34" s="334"/>
      <c r="J34" s="333"/>
      <c r="K34" s="301"/>
      <c r="L34" s="333"/>
      <c r="M34" s="301"/>
      <c r="N34" s="333"/>
      <c r="P34" s="333"/>
      <c r="Q34" s="301"/>
      <c r="R34" s="333"/>
      <c r="S34" s="301"/>
      <c r="T34" s="333"/>
      <c r="V34" s="333">
        <f>V103-T103</f>
        <v>0</v>
      </c>
      <c r="W34" s="301"/>
      <c r="X34" s="333"/>
      <c r="Y34" s="301"/>
      <c r="Z34" s="333"/>
    </row>
    <row r="35" spans="1:26" ht="15.75" x14ac:dyDescent="0.25">
      <c r="A35" s="328" t="s">
        <v>203</v>
      </c>
      <c r="B35" s="310"/>
      <c r="C35" s="338"/>
      <c r="D35" s="337">
        <f>SUM(D31:D33)</f>
        <v>1297</v>
      </c>
      <c r="E35" s="338"/>
      <c r="F35" s="337">
        <f>SUM(F31:F33)</f>
        <v>-139</v>
      </c>
      <c r="G35" s="338"/>
      <c r="H35" s="385">
        <f>SUM(H31:H33)</f>
        <v>1158</v>
      </c>
      <c r="I35" s="386"/>
      <c r="J35" s="385">
        <f t="shared" ref="J35:J45" si="3">J104-D104</f>
        <v>1566</v>
      </c>
      <c r="K35" s="387"/>
      <c r="L35" s="385">
        <f t="shared" ref="L35:L45" si="4">L104-F104</f>
        <v>-191</v>
      </c>
      <c r="M35" s="387"/>
      <c r="N35" s="385">
        <f>N104-H104</f>
        <v>1375</v>
      </c>
      <c r="O35" s="368"/>
      <c r="P35" s="385">
        <v>1588</v>
      </c>
      <c r="Q35" s="387"/>
      <c r="R35" s="385">
        <v>0</v>
      </c>
      <c r="S35" s="387"/>
      <c r="T35" s="385">
        <f>T104-N104</f>
        <v>1588</v>
      </c>
      <c r="U35" s="368"/>
      <c r="V35" s="385">
        <f>V31+V33</f>
        <v>1428</v>
      </c>
      <c r="W35" s="387"/>
      <c r="X35" s="385">
        <f>X31+X33</f>
        <v>0</v>
      </c>
      <c r="Y35" s="387"/>
      <c r="Z35" s="385">
        <f>Z31+Z33</f>
        <v>1428</v>
      </c>
    </row>
    <row r="36" spans="1:26" ht="5.0999999999999996" customHeight="1" x14ac:dyDescent="0.25">
      <c r="A36" s="335"/>
      <c r="B36" s="310"/>
      <c r="C36" s="338"/>
      <c r="D36" s="339"/>
      <c r="E36" s="338"/>
      <c r="F36" s="339"/>
      <c r="G36" s="338"/>
      <c r="H36" s="388"/>
      <c r="I36" s="368"/>
      <c r="J36" s="388"/>
      <c r="K36" s="386"/>
      <c r="L36" s="388"/>
      <c r="M36" s="386"/>
      <c r="N36" s="388"/>
      <c r="O36" s="368"/>
      <c r="P36" s="388"/>
      <c r="Q36" s="386"/>
      <c r="R36" s="388"/>
      <c r="S36" s="386"/>
      <c r="T36" s="388"/>
      <c r="U36" s="368"/>
      <c r="V36" s="388">
        <f>V105-T105</f>
        <v>0</v>
      </c>
      <c r="W36" s="386"/>
      <c r="X36" s="388">
        <v>0</v>
      </c>
      <c r="Y36" s="386"/>
      <c r="Z36" s="388"/>
    </row>
    <row r="37" spans="1:26" ht="15.75" x14ac:dyDescent="0.25">
      <c r="A37" s="321" t="s">
        <v>4</v>
      </c>
      <c r="B37" s="310"/>
      <c r="C37" s="341"/>
      <c r="D37" s="333">
        <f>D106</f>
        <v>-164</v>
      </c>
      <c r="E37" s="340"/>
      <c r="F37" s="333">
        <f>F106</f>
        <v>-1</v>
      </c>
      <c r="G37" s="340"/>
      <c r="H37" s="389">
        <f>H106</f>
        <v>-165</v>
      </c>
      <c r="I37" s="368"/>
      <c r="J37" s="389">
        <f t="shared" si="3"/>
        <v>-166</v>
      </c>
      <c r="K37" s="390"/>
      <c r="L37" s="389">
        <f t="shared" si="4"/>
        <v>1</v>
      </c>
      <c r="M37" s="390"/>
      <c r="N37" s="389">
        <f>N106-H106</f>
        <v>-165</v>
      </c>
      <c r="O37" s="368"/>
      <c r="P37" s="389">
        <v>-162</v>
      </c>
      <c r="Q37" s="390"/>
      <c r="R37" s="389">
        <f>R106-L106</f>
        <v>0</v>
      </c>
      <c r="S37" s="390"/>
      <c r="T37" s="389">
        <f>T106-N106</f>
        <v>-162</v>
      </c>
      <c r="U37" s="368"/>
      <c r="V37" s="389">
        <f>V106-P106</f>
        <v>-171</v>
      </c>
      <c r="W37" s="390"/>
      <c r="X37" s="389">
        <f>X106-R106</f>
        <v>0</v>
      </c>
      <c r="Y37" s="390"/>
      <c r="Z37" s="389">
        <f>V37+X37</f>
        <v>-171</v>
      </c>
    </row>
    <row r="38" spans="1:26" ht="5.0999999999999996" customHeight="1" x14ac:dyDescent="0.25">
      <c r="A38" s="321"/>
      <c r="B38" s="310"/>
      <c r="C38" s="341"/>
      <c r="D38" s="333"/>
      <c r="E38" s="340"/>
      <c r="F38" s="333"/>
      <c r="G38" s="340"/>
      <c r="H38" s="389"/>
      <c r="I38" s="368"/>
      <c r="J38" s="389"/>
      <c r="K38" s="390"/>
      <c r="L38" s="389"/>
      <c r="M38" s="390"/>
      <c r="N38" s="389"/>
      <c r="O38" s="368"/>
      <c r="P38" s="389"/>
      <c r="Q38" s="390"/>
      <c r="R38" s="389"/>
      <c r="S38" s="390"/>
      <c r="T38" s="389"/>
      <c r="U38" s="368"/>
      <c r="V38" s="389">
        <f>V107-T107</f>
        <v>0</v>
      </c>
      <c r="W38" s="390"/>
      <c r="X38" s="389"/>
      <c r="Y38" s="390"/>
      <c r="Z38" s="389"/>
    </row>
    <row r="39" spans="1:26" ht="15.75" x14ac:dyDescent="0.25">
      <c r="A39" s="301" t="s">
        <v>204</v>
      </c>
      <c r="B39" s="310"/>
      <c r="C39" s="340"/>
      <c r="D39" s="342">
        <f>D108</f>
        <v>1</v>
      </c>
      <c r="E39" s="341"/>
      <c r="F39" s="342">
        <f>F108</f>
        <v>0</v>
      </c>
      <c r="G39" s="341"/>
      <c r="H39" s="391">
        <f>H108</f>
        <v>1</v>
      </c>
      <c r="I39" s="368"/>
      <c r="J39" s="391">
        <f t="shared" si="3"/>
        <v>0</v>
      </c>
      <c r="K39" s="392"/>
      <c r="L39" s="391">
        <f t="shared" si="4"/>
        <v>0</v>
      </c>
      <c r="M39" s="392"/>
      <c r="N39" s="391">
        <f>N108-H108</f>
        <v>0</v>
      </c>
      <c r="O39" s="368"/>
      <c r="P39" s="391">
        <v>1</v>
      </c>
      <c r="Q39" s="392"/>
      <c r="R39" s="391">
        <f>R108-L108</f>
        <v>0</v>
      </c>
      <c r="S39" s="392"/>
      <c r="T39" s="391">
        <f>T108-N108</f>
        <v>1</v>
      </c>
      <c r="U39" s="368"/>
      <c r="V39" s="391">
        <f>V108-P108</f>
        <v>-2</v>
      </c>
      <c r="W39" s="392"/>
      <c r="X39" s="391">
        <f>X108-R108</f>
        <v>0</v>
      </c>
      <c r="Y39" s="392"/>
      <c r="Z39" s="391">
        <f>V39+X39</f>
        <v>-2</v>
      </c>
    </row>
    <row r="40" spans="1:26" ht="5.0999999999999996" customHeight="1" x14ac:dyDescent="0.25">
      <c r="A40" s="301"/>
      <c r="B40" s="310"/>
      <c r="C40" s="340"/>
      <c r="D40" s="333"/>
      <c r="E40" s="341"/>
      <c r="F40" s="333"/>
      <c r="G40" s="341"/>
      <c r="H40" s="389"/>
      <c r="I40" s="368"/>
      <c r="J40" s="389"/>
      <c r="K40" s="392"/>
      <c r="L40" s="389"/>
      <c r="M40" s="392"/>
      <c r="N40" s="389"/>
      <c r="O40" s="368"/>
      <c r="P40" s="389"/>
      <c r="Q40" s="392"/>
      <c r="R40" s="389"/>
      <c r="S40" s="392"/>
      <c r="T40" s="389"/>
      <c r="U40" s="368"/>
      <c r="V40" s="389">
        <f>V109-T109</f>
        <v>0</v>
      </c>
      <c r="W40" s="392"/>
      <c r="X40" s="389"/>
      <c r="Y40" s="392"/>
      <c r="Z40" s="389"/>
    </row>
    <row r="41" spans="1:26" ht="15.75" x14ac:dyDescent="0.25">
      <c r="A41" s="301" t="s">
        <v>128</v>
      </c>
      <c r="B41" s="310"/>
      <c r="C41" s="341"/>
      <c r="D41" s="333">
        <f>D110</f>
        <v>1134</v>
      </c>
      <c r="E41" s="341"/>
      <c r="F41" s="333">
        <f>F110</f>
        <v>-140</v>
      </c>
      <c r="G41" s="341"/>
      <c r="H41" s="389">
        <f>H110</f>
        <v>994</v>
      </c>
      <c r="I41" s="368"/>
      <c r="J41" s="389">
        <f t="shared" si="3"/>
        <v>1400</v>
      </c>
      <c r="K41" s="392"/>
      <c r="L41" s="389">
        <f t="shared" si="4"/>
        <v>-190</v>
      </c>
      <c r="M41" s="392"/>
      <c r="N41" s="389">
        <f>N110-H110</f>
        <v>1210</v>
      </c>
      <c r="O41" s="368"/>
      <c r="P41" s="389">
        <v>1427</v>
      </c>
      <c r="Q41" s="392"/>
      <c r="R41" s="389">
        <v>0</v>
      </c>
      <c r="S41" s="392"/>
      <c r="T41" s="389">
        <f>T110-N110</f>
        <v>1427</v>
      </c>
      <c r="U41" s="368"/>
      <c r="V41" s="389">
        <f>V35+V37+V39</f>
        <v>1255</v>
      </c>
      <c r="W41" s="392"/>
      <c r="X41" s="389">
        <f>X35+X37+X39</f>
        <v>0</v>
      </c>
      <c r="Y41" s="392"/>
      <c r="Z41" s="389">
        <f>Z35+Z37+Z39</f>
        <v>1255</v>
      </c>
    </row>
    <row r="42" spans="1:26" ht="5.0999999999999996" customHeight="1" x14ac:dyDescent="0.25">
      <c r="A42" s="301"/>
      <c r="B42" s="310"/>
      <c r="C42" s="341"/>
      <c r="D42" s="333"/>
      <c r="E42" s="341"/>
      <c r="F42" s="333"/>
      <c r="G42" s="341"/>
      <c r="H42" s="389"/>
      <c r="I42" s="368"/>
      <c r="J42" s="389"/>
      <c r="K42" s="392"/>
      <c r="L42" s="389"/>
      <c r="M42" s="392"/>
      <c r="N42" s="389"/>
      <c r="O42" s="368"/>
      <c r="P42" s="389"/>
      <c r="Q42" s="392"/>
      <c r="R42" s="389"/>
      <c r="S42" s="392"/>
      <c r="T42" s="389"/>
      <c r="U42" s="368"/>
      <c r="V42" s="389">
        <f>V111-T111</f>
        <v>0</v>
      </c>
      <c r="W42" s="392"/>
      <c r="X42" s="389"/>
      <c r="Y42" s="392"/>
      <c r="Z42" s="389"/>
    </row>
    <row r="43" spans="1:26" ht="15.75" x14ac:dyDescent="0.25">
      <c r="A43" s="355" t="s">
        <v>246</v>
      </c>
      <c r="B43" s="310"/>
      <c r="C43" s="341"/>
      <c r="D43" s="342">
        <f>D112</f>
        <v>-236</v>
      </c>
      <c r="E43" s="341"/>
      <c r="F43" s="342">
        <f>F112</f>
        <v>48</v>
      </c>
      <c r="G43" s="341"/>
      <c r="H43" s="391">
        <f>H112</f>
        <v>-188</v>
      </c>
      <c r="I43" s="368"/>
      <c r="J43" s="391">
        <f t="shared" si="3"/>
        <v>-379</v>
      </c>
      <c r="K43" s="392"/>
      <c r="L43" s="391">
        <f t="shared" si="4"/>
        <v>68</v>
      </c>
      <c r="M43" s="392"/>
      <c r="N43" s="391">
        <f>N112-H112</f>
        <v>-311</v>
      </c>
      <c r="O43" s="368"/>
      <c r="P43" s="391">
        <v>-338</v>
      </c>
      <c r="Q43" s="392"/>
      <c r="R43" s="391">
        <v>0</v>
      </c>
      <c r="S43" s="392"/>
      <c r="T43" s="391">
        <f>T112-N112</f>
        <v>-338</v>
      </c>
      <c r="U43" s="368"/>
      <c r="V43" s="391">
        <f>V112-P112</f>
        <v>-296</v>
      </c>
      <c r="W43" s="392"/>
      <c r="X43" s="391">
        <f>X112-R112</f>
        <v>0</v>
      </c>
      <c r="Y43" s="392"/>
      <c r="Z43" s="391">
        <f>V43+X43</f>
        <v>-296</v>
      </c>
    </row>
    <row r="44" spans="1:26" ht="5.0999999999999996" customHeight="1" x14ac:dyDescent="0.25">
      <c r="A44" s="301"/>
      <c r="B44" s="310"/>
      <c r="C44" s="341"/>
      <c r="D44" s="333"/>
      <c r="E44" s="341"/>
      <c r="F44" s="333"/>
      <c r="G44" s="341"/>
      <c r="H44" s="389"/>
      <c r="I44" s="368"/>
      <c r="J44" s="389"/>
      <c r="K44" s="392"/>
      <c r="L44" s="389"/>
      <c r="M44" s="392"/>
      <c r="N44" s="389"/>
      <c r="O44" s="368"/>
      <c r="P44" s="389"/>
      <c r="Q44" s="392"/>
      <c r="R44" s="389"/>
      <c r="S44" s="392"/>
      <c r="T44" s="389"/>
      <c r="U44" s="368"/>
      <c r="V44" s="389">
        <f>V113-T113</f>
        <v>0</v>
      </c>
      <c r="W44" s="392"/>
      <c r="X44" s="389"/>
      <c r="Y44" s="392"/>
      <c r="Z44" s="389"/>
    </row>
    <row r="45" spans="1:26" ht="15.75" x14ac:dyDescent="0.25">
      <c r="A45" s="355" t="s">
        <v>247</v>
      </c>
      <c r="B45" s="310"/>
      <c r="C45" s="341"/>
      <c r="D45" s="333">
        <f>D114</f>
        <v>898</v>
      </c>
      <c r="E45" s="341"/>
      <c r="F45" s="333">
        <f>F114</f>
        <v>-92</v>
      </c>
      <c r="G45" s="341"/>
      <c r="H45" s="389">
        <f>H114</f>
        <v>806</v>
      </c>
      <c r="I45" s="368"/>
      <c r="J45" s="389">
        <f t="shared" si="3"/>
        <v>1021</v>
      </c>
      <c r="K45" s="392"/>
      <c r="L45" s="389">
        <f t="shared" si="4"/>
        <v>-122</v>
      </c>
      <c r="M45" s="392"/>
      <c r="N45" s="389">
        <f>N114-H114</f>
        <v>899</v>
      </c>
      <c r="O45" s="368"/>
      <c r="P45" s="389">
        <v>1089</v>
      </c>
      <c r="Q45" s="392"/>
      <c r="R45" s="389">
        <v>0</v>
      </c>
      <c r="S45" s="392"/>
      <c r="T45" s="389">
        <f>T114-N114</f>
        <v>1089</v>
      </c>
      <c r="U45" s="368"/>
      <c r="V45" s="389">
        <f>V41+V43</f>
        <v>959</v>
      </c>
      <c r="W45" s="392"/>
      <c r="X45" s="389">
        <f>X41+X43</f>
        <v>0</v>
      </c>
      <c r="Y45" s="392"/>
      <c r="Z45" s="389">
        <f>Z41+Z43</f>
        <v>959</v>
      </c>
    </row>
    <row r="46" spans="1:26" ht="6" customHeight="1" x14ac:dyDescent="0.25">
      <c r="A46" s="301"/>
      <c r="B46" s="310"/>
      <c r="C46" s="341"/>
      <c r="D46" s="333"/>
      <c r="E46" s="341"/>
      <c r="F46" s="333"/>
      <c r="G46" s="341"/>
      <c r="H46" s="389"/>
      <c r="I46" s="368"/>
      <c r="J46" s="389"/>
      <c r="K46" s="392"/>
      <c r="L46" s="389"/>
      <c r="M46" s="392"/>
      <c r="N46" s="389"/>
      <c r="O46" s="368"/>
      <c r="P46" s="389"/>
      <c r="Q46" s="392"/>
      <c r="R46" s="389"/>
      <c r="S46" s="392"/>
      <c r="T46" s="389"/>
      <c r="U46" s="368"/>
      <c r="V46" s="389"/>
      <c r="W46" s="392"/>
      <c r="X46" s="389"/>
      <c r="Y46" s="392"/>
      <c r="Z46" s="389"/>
    </row>
    <row r="47" spans="1:26" ht="15.75" hidden="1" x14ac:dyDescent="0.25">
      <c r="A47" s="355" t="s">
        <v>230</v>
      </c>
      <c r="B47" s="310"/>
      <c r="C47" s="341"/>
      <c r="D47" s="333">
        <v>0</v>
      </c>
      <c r="E47" s="341"/>
      <c r="F47" s="333">
        <v>0</v>
      </c>
      <c r="G47" s="341"/>
      <c r="H47" s="389">
        <f>D47+F47</f>
        <v>0</v>
      </c>
      <c r="I47" s="368"/>
      <c r="J47" s="389">
        <v>0</v>
      </c>
      <c r="K47" s="392"/>
      <c r="L47" s="389">
        <v>0</v>
      </c>
      <c r="M47" s="392"/>
      <c r="N47" s="389">
        <f>J47+L47</f>
        <v>0</v>
      </c>
      <c r="O47" s="368"/>
      <c r="P47" s="389"/>
      <c r="Q47" s="392"/>
      <c r="R47" s="389">
        <f>R116-L116</f>
        <v>0</v>
      </c>
      <c r="S47" s="392"/>
      <c r="T47" s="389"/>
      <c r="U47" s="368"/>
      <c r="V47" s="389">
        <f t="shared" ref="V47" si="5">V115-T115</f>
        <v>0</v>
      </c>
      <c r="W47" s="392"/>
      <c r="X47" s="389">
        <f>X116-R116</f>
        <v>0</v>
      </c>
      <c r="Y47" s="392"/>
      <c r="Z47" s="389"/>
    </row>
    <row r="48" spans="1:26" ht="4.5" hidden="1" customHeight="1" x14ac:dyDescent="0.25">
      <c r="A48" s="355"/>
      <c r="B48" s="310"/>
      <c r="C48" s="341"/>
      <c r="D48" s="333"/>
      <c r="E48" s="341"/>
      <c r="F48" s="333"/>
      <c r="G48" s="341"/>
      <c r="H48" s="389"/>
      <c r="I48" s="368"/>
      <c r="J48" s="389"/>
      <c r="K48" s="392"/>
      <c r="L48" s="389"/>
      <c r="M48" s="392"/>
      <c r="N48" s="389"/>
      <c r="O48" s="368"/>
      <c r="P48" s="389"/>
      <c r="Q48" s="392"/>
      <c r="R48" s="389"/>
      <c r="S48" s="392"/>
      <c r="T48" s="389"/>
      <c r="U48" s="368"/>
      <c r="V48" s="389"/>
      <c r="W48" s="392"/>
      <c r="X48" s="389"/>
      <c r="Y48" s="392"/>
      <c r="Z48" s="389"/>
    </row>
    <row r="49" spans="1:27" ht="15.75" x14ac:dyDescent="0.25">
      <c r="A49" s="355" t="s">
        <v>249</v>
      </c>
      <c r="B49" s="310"/>
      <c r="C49" s="341"/>
      <c r="D49" s="342">
        <f>D118</f>
        <v>0</v>
      </c>
      <c r="E49" s="341"/>
      <c r="F49" s="342">
        <f>F118</f>
        <v>92</v>
      </c>
      <c r="G49" s="341"/>
      <c r="H49" s="391">
        <f>H118</f>
        <v>92</v>
      </c>
      <c r="I49" s="368"/>
      <c r="J49" s="391">
        <f>J118-D118</f>
        <v>0</v>
      </c>
      <c r="K49" s="392"/>
      <c r="L49" s="391">
        <f>L118-F118</f>
        <v>122</v>
      </c>
      <c r="M49" s="392"/>
      <c r="N49" s="391">
        <f>N118-H118</f>
        <v>122</v>
      </c>
      <c r="O49" s="368"/>
      <c r="P49" s="391">
        <v>1306</v>
      </c>
      <c r="Q49" s="392"/>
      <c r="R49" s="391">
        <f>-(R45+R47)</f>
        <v>0</v>
      </c>
      <c r="S49" s="392"/>
      <c r="T49" s="391">
        <f>T118-N118</f>
        <v>1306</v>
      </c>
      <c r="U49" s="368"/>
      <c r="V49" s="391">
        <f>V118-P118</f>
        <v>29</v>
      </c>
      <c r="W49" s="392"/>
      <c r="X49" s="391">
        <f>-(X45+X47)</f>
        <v>0</v>
      </c>
      <c r="Y49" s="392"/>
      <c r="Z49" s="391">
        <f>Z118-T118</f>
        <v>29</v>
      </c>
    </row>
    <row r="50" spans="1:27" ht="4.9000000000000004" customHeight="1" x14ac:dyDescent="0.25">
      <c r="A50" s="301"/>
      <c r="B50" s="310"/>
      <c r="C50" s="341"/>
      <c r="D50" s="333"/>
      <c r="E50" s="341"/>
      <c r="F50" s="333"/>
      <c r="G50" s="341"/>
      <c r="H50" s="389"/>
      <c r="I50" s="368"/>
      <c r="J50" s="389"/>
      <c r="K50" s="392"/>
      <c r="L50" s="389"/>
      <c r="M50" s="392"/>
      <c r="N50" s="389"/>
      <c r="O50" s="368"/>
      <c r="P50" s="389"/>
      <c r="Q50" s="392"/>
      <c r="R50" s="389"/>
      <c r="S50" s="392"/>
      <c r="T50" s="389"/>
      <c r="U50" s="368"/>
      <c r="V50" s="389">
        <f>V119-T119</f>
        <v>0</v>
      </c>
      <c r="W50" s="392"/>
      <c r="X50" s="389"/>
      <c r="Y50" s="392"/>
      <c r="Z50" s="389"/>
    </row>
    <row r="51" spans="1:27" ht="16.5" thickBot="1" x14ac:dyDescent="0.3">
      <c r="A51" s="310" t="s">
        <v>248</v>
      </c>
      <c r="B51" s="310"/>
      <c r="C51" s="341"/>
      <c r="D51" s="344">
        <f>D120</f>
        <v>898</v>
      </c>
      <c r="E51" s="341"/>
      <c r="F51" s="344">
        <f>F120</f>
        <v>0</v>
      </c>
      <c r="G51" s="341"/>
      <c r="H51" s="393">
        <f>H120</f>
        <v>898</v>
      </c>
      <c r="I51" s="368"/>
      <c r="J51" s="393">
        <f>J120-D120</f>
        <v>1021</v>
      </c>
      <c r="K51" s="392"/>
      <c r="L51" s="393">
        <f>L120-F120</f>
        <v>0</v>
      </c>
      <c r="M51" s="392"/>
      <c r="N51" s="393">
        <f>N120-H120</f>
        <v>1021</v>
      </c>
      <c r="O51" s="368"/>
      <c r="P51" s="393">
        <v>2395</v>
      </c>
      <c r="Q51" s="392"/>
      <c r="R51" s="393">
        <f>R120-L120</f>
        <v>0</v>
      </c>
      <c r="S51" s="392"/>
      <c r="T51" s="393">
        <f>T120-N120</f>
        <v>2395</v>
      </c>
      <c r="U51" s="368"/>
      <c r="V51" s="393">
        <f>V45+V49</f>
        <v>988</v>
      </c>
      <c r="W51" s="392"/>
      <c r="X51" s="393">
        <f>X120-R120</f>
        <v>0</v>
      </c>
      <c r="Y51" s="392"/>
      <c r="Z51" s="393">
        <f>Z45+Z49</f>
        <v>988</v>
      </c>
    </row>
    <row r="52" spans="1:27" ht="5.0999999999999996" customHeight="1" thickTop="1" x14ac:dyDescent="0.25">
      <c r="A52" s="310"/>
      <c r="B52" s="310"/>
      <c r="C52" s="341"/>
      <c r="D52" s="345"/>
      <c r="E52" s="341"/>
      <c r="F52" s="345"/>
      <c r="G52" s="341"/>
      <c r="H52" s="345"/>
      <c r="J52" s="345"/>
      <c r="K52" s="341"/>
      <c r="L52" s="345"/>
      <c r="M52" s="341"/>
      <c r="N52" s="345"/>
      <c r="P52" s="345"/>
      <c r="Q52" s="341"/>
      <c r="R52" s="345"/>
      <c r="S52" s="341"/>
      <c r="T52" s="345"/>
      <c r="V52" s="345"/>
      <c r="W52" s="341"/>
      <c r="X52" s="345"/>
      <c r="Y52" s="341"/>
      <c r="Z52" s="345"/>
    </row>
    <row r="53" spans="1:27" ht="16.5" thickBot="1" x14ac:dyDescent="0.3">
      <c r="A53" s="346" t="s">
        <v>207</v>
      </c>
      <c r="B53" s="310"/>
      <c r="C53" s="341"/>
      <c r="D53" s="347">
        <f>-D43/D41</f>
        <v>0.20811287477954143</v>
      </c>
      <c r="E53" s="341"/>
      <c r="F53" s="348"/>
      <c r="G53" s="341"/>
      <c r="H53" s="347">
        <f>-H43/H41</f>
        <v>0.1891348088531187</v>
      </c>
      <c r="J53" s="347">
        <f>-J43/J41</f>
        <v>0.27071428571428574</v>
      </c>
      <c r="K53" s="341"/>
      <c r="L53" s="348"/>
      <c r="M53" s="341"/>
      <c r="N53" s="347">
        <f>-N43/N41</f>
        <v>0.25702479338842976</v>
      </c>
      <c r="P53" s="347">
        <v>0.23686054660126138</v>
      </c>
      <c r="Q53" s="341"/>
      <c r="R53" s="348"/>
      <c r="S53" s="341"/>
      <c r="T53" s="347">
        <f>-T43/T41</f>
        <v>0.23686054660126138</v>
      </c>
      <c r="V53" s="347">
        <f>-V43/V41</f>
        <v>0.23585657370517929</v>
      </c>
      <c r="W53" s="341"/>
      <c r="X53" s="348"/>
      <c r="Y53" s="341"/>
      <c r="Z53" s="347">
        <f>-Z43/Z41</f>
        <v>0.23585657370517929</v>
      </c>
    </row>
    <row r="54" spans="1:27" ht="5.0999999999999996" customHeight="1" thickTop="1" x14ac:dyDescent="0.25">
      <c r="A54" s="310"/>
      <c r="B54" s="310"/>
      <c r="C54" s="341"/>
      <c r="D54" s="345"/>
      <c r="E54" s="341"/>
      <c r="F54" s="345"/>
      <c r="G54" s="341"/>
      <c r="H54" s="345"/>
      <c r="J54" s="345"/>
      <c r="K54" s="341"/>
      <c r="L54" s="345"/>
      <c r="M54" s="341"/>
      <c r="N54" s="345"/>
      <c r="P54" s="345"/>
      <c r="Q54" s="341"/>
      <c r="R54" s="345"/>
      <c r="S54" s="341"/>
      <c r="T54" s="345"/>
      <c r="V54" s="345"/>
      <c r="W54" s="341"/>
      <c r="X54" s="345"/>
      <c r="Y54" s="341"/>
      <c r="Z54" s="345"/>
    </row>
    <row r="55" spans="1:27" ht="15.75" x14ac:dyDescent="0.25">
      <c r="A55" s="310" t="s">
        <v>127</v>
      </c>
      <c r="B55" s="310"/>
      <c r="C55" s="341"/>
      <c r="D55" s="345"/>
      <c r="E55" s="341"/>
      <c r="F55" s="345"/>
      <c r="G55" s="341"/>
      <c r="H55" s="345"/>
      <c r="J55" s="345"/>
      <c r="K55" s="341"/>
      <c r="L55" s="345"/>
      <c r="M55" s="341"/>
      <c r="N55" s="345"/>
      <c r="P55" s="345"/>
      <c r="Q55" s="341"/>
      <c r="R55" s="345"/>
      <c r="S55" s="341"/>
      <c r="T55" s="345"/>
      <c r="V55" s="345"/>
      <c r="W55" s="341"/>
      <c r="X55" s="345"/>
      <c r="Y55" s="341"/>
      <c r="Z55" s="345"/>
    </row>
    <row r="56" spans="1:27" ht="5.0999999999999996" customHeight="1" x14ac:dyDescent="0.25">
      <c r="A56" s="310"/>
      <c r="B56" s="310"/>
      <c r="C56" s="341"/>
      <c r="D56" s="345"/>
      <c r="E56" s="341"/>
      <c r="F56" s="345"/>
      <c r="G56" s="341"/>
      <c r="H56" s="345"/>
      <c r="J56" s="345"/>
      <c r="K56" s="341"/>
      <c r="L56" s="345"/>
      <c r="M56" s="341"/>
      <c r="N56" s="345"/>
      <c r="P56" s="345"/>
      <c r="Q56" s="341"/>
      <c r="R56" s="345"/>
      <c r="S56" s="341"/>
      <c r="T56" s="345"/>
      <c r="V56" s="345"/>
      <c r="W56" s="341"/>
      <c r="X56" s="345"/>
      <c r="Y56" s="341"/>
      <c r="Z56" s="345"/>
    </row>
    <row r="57" spans="1:27" ht="15.75" x14ac:dyDescent="0.25">
      <c r="A57" s="301" t="s">
        <v>208</v>
      </c>
      <c r="B57" s="310"/>
      <c r="C57" s="341"/>
      <c r="D57" s="345"/>
      <c r="E57" s="341"/>
      <c r="F57" s="345"/>
      <c r="G57" s="341"/>
      <c r="H57" s="345"/>
      <c r="J57" s="345"/>
      <c r="K57" s="341"/>
      <c r="L57" s="345"/>
      <c r="M57" s="341"/>
      <c r="N57" s="345"/>
      <c r="P57" s="345"/>
      <c r="Q57" s="341"/>
      <c r="R57" s="345"/>
      <c r="S57" s="341"/>
      <c r="T57" s="345"/>
      <c r="V57" s="345"/>
      <c r="W57" s="341"/>
      <c r="X57" s="345"/>
      <c r="Y57" s="341"/>
      <c r="Z57" s="345"/>
    </row>
    <row r="58" spans="1:27" ht="5.0999999999999996" customHeight="1" x14ac:dyDescent="0.25">
      <c r="A58" s="301"/>
      <c r="B58" s="310"/>
      <c r="C58" s="341"/>
      <c r="D58" s="378"/>
      <c r="E58" s="341"/>
      <c r="F58" s="345"/>
      <c r="G58" s="341"/>
      <c r="H58" s="345"/>
      <c r="J58" s="345"/>
      <c r="K58" s="341"/>
      <c r="L58" s="345"/>
      <c r="M58" s="341"/>
      <c r="N58" s="345"/>
      <c r="P58" s="345"/>
      <c r="Q58" s="341"/>
      <c r="R58" s="345"/>
      <c r="S58" s="341"/>
      <c r="T58" s="345"/>
      <c r="V58" s="345"/>
      <c r="W58" s="341"/>
      <c r="X58" s="345"/>
      <c r="Y58" s="341"/>
      <c r="Z58" s="345"/>
    </row>
    <row r="59" spans="1:27" ht="15.75" x14ac:dyDescent="0.25">
      <c r="A59" s="346" t="s">
        <v>209</v>
      </c>
      <c r="B59" s="310"/>
      <c r="C59" s="341"/>
      <c r="D59" s="350">
        <f>D128</f>
        <v>2.9490968801313628</v>
      </c>
      <c r="E59" s="341"/>
      <c r="F59" s="350">
        <f>+H59-D59</f>
        <v>-0.30213464696223324</v>
      </c>
      <c r="G59" s="341"/>
      <c r="H59" s="350">
        <f>H128</f>
        <v>2.6469622331691296</v>
      </c>
      <c r="J59" s="350">
        <f>J45/303.1</f>
        <v>3.3685252391949847</v>
      </c>
      <c r="K59" s="341"/>
      <c r="L59" s="350">
        <f>+N59-J59</f>
        <v>-0.40250742329264266</v>
      </c>
      <c r="M59" s="341"/>
      <c r="N59" s="350">
        <f>N45/303.1</f>
        <v>2.966017815902342</v>
      </c>
      <c r="P59" s="350">
        <f>P45/298.5-0.01</f>
        <v>3.638241206030151</v>
      </c>
      <c r="Q59" s="341"/>
      <c r="R59" s="350">
        <f>+T59-P59</f>
        <v>0</v>
      </c>
      <c r="S59" s="341"/>
      <c r="T59" s="350">
        <f>T45/298.5-0.01</f>
        <v>3.638241206030151</v>
      </c>
      <c r="V59" s="350">
        <f>V45/291.8</f>
        <v>3.2864976010966416</v>
      </c>
      <c r="W59" s="341"/>
      <c r="X59" s="350">
        <f>+Z59-V59</f>
        <v>0</v>
      </c>
      <c r="Y59" s="341"/>
      <c r="Z59" s="350">
        <f>Z45/291.8</f>
        <v>3.2864976010966416</v>
      </c>
      <c r="AA59" s="379"/>
    </row>
    <row r="60" spans="1:27" ht="5.0999999999999996" customHeight="1" x14ac:dyDescent="0.25">
      <c r="A60" s="346"/>
      <c r="B60" s="310"/>
      <c r="C60" s="341"/>
      <c r="D60" s="352"/>
      <c r="E60" s="341"/>
      <c r="F60" s="352"/>
      <c r="G60" s="341"/>
      <c r="H60" s="352"/>
      <c r="J60" s="352"/>
      <c r="K60" s="341"/>
      <c r="L60" s="352"/>
      <c r="M60" s="341"/>
      <c r="N60" s="352"/>
      <c r="P60" s="352"/>
      <c r="Q60" s="341"/>
      <c r="R60" s="352"/>
      <c r="S60" s="341"/>
      <c r="T60" s="352"/>
      <c r="V60" s="352"/>
      <c r="W60" s="341"/>
      <c r="X60" s="352"/>
      <c r="Y60" s="341"/>
      <c r="Z60" s="352"/>
      <c r="AA60" s="379"/>
    </row>
    <row r="61" spans="1:27" ht="15.75" x14ac:dyDescent="0.25">
      <c r="A61" s="346" t="s">
        <v>210</v>
      </c>
      <c r="B61" s="310"/>
      <c r="C61" s="341"/>
      <c r="D61" s="354">
        <f>D130</f>
        <v>0</v>
      </c>
      <c r="E61" s="341"/>
      <c r="F61" s="354">
        <f>+H61-D61</f>
        <v>0.29889538661468484</v>
      </c>
      <c r="G61" s="341"/>
      <c r="H61" s="354">
        <f>H130</f>
        <v>0.29889538661468484</v>
      </c>
      <c r="J61" s="354">
        <v>0</v>
      </c>
      <c r="K61" s="341"/>
      <c r="L61" s="354">
        <f>+N61-J61</f>
        <v>0.40250742329264266</v>
      </c>
      <c r="M61" s="341"/>
      <c r="N61" s="354">
        <f>N49/303.1</f>
        <v>0.40250742329264266</v>
      </c>
      <c r="P61" s="354">
        <f>P49/298.5</f>
        <v>4.375209380234506</v>
      </c>
      <c r="Q61" s="341"/>
      <c r="R61" s="354">
        <f>+T61-P61</f>
        <v>0</v>
      </c>
      <c r="S61" s="341"/>
      <c r="T61" s="354">
        <f>T49/298.5</f>
        <v>4.375209380234506</v>
      </c>
      <c r="V61" s="354">
        <f>V49/295.2</f>
        <v>9.8238482384823855E-2</v>
      </c>
      <c r="W61" s="341"/>
      <c r="X61" s="354">
        <f>+Z61-V61</f>
        <v>0</v>
      </c>
      <c r="Y61" s="341"/>
      <c r="Z61" s="354">
        <f>Z49/295.2</f>
        <v>9.8238482384823855E-2</v>
      </c>
      <c r="AA61" s="379"/>
    </row>
    <row r="62" spans="1:27" ht="5.0999999999999996" customHeight="1" x14ac:dyDescent="0.25">
      <c r="A62" s="346"/>
      <c r="B62" s="310"/>
      <c r="C62" s="341"/>
      <c r="D62" s="352"/>
      <c r="E62" s="341"/>
      <c r="F62" s="352"/>
      <c r="G62" s="341"/>
      <c r="H62" s="352"/>
      <c r="J62" s="352"/>
      <c r="K62" s="341"/>
      <c r="L62" s="352"/>
      <c r="M62" s="341"/>
      <c r="N62" s="352"/>
      <c r="P62" s="352"/>
      <c r="Q62" s="341"/>
      <c r="R62" s="352"/>
      <c r="S62" s="341"/>
      <c r="T62" s="352"/>
      <c r="V62" s="352"/>
      <c r="W62" s="341"/>
      <c r="X62" s="352"/>
      <c r="Y62" s="341"/>
      <c r="Z62" s="352"/>
    </row>
    <row r="63" spans="1:27" ht="16.5" thickBot="1" x14ac:dyDescent="0.3">
      <c r="A63" s="355" t="s">
        <v>211</v>
      </c>
      <c r="B63" s="310"/>
      <c r="C63" s="341"/>
      <c r="D63" s="357">
        <f>D59+D61</f>
        <v>2.9490968801313628</v>
      </c>
      <c r="E63" s="341"/>
      <c r="F63" s="357">
        <f>F59+F61</f>
        <v>-3.2392603475484005E-3</v>
      </c>
      <c r="G63" s="341"/>
      <c r="H63" s="357">
        <f>H59+H61</f>
        <v>2.9458576197838147</v>
      </c>
      <c r="J63" s="357">
        <f>J59+J61</f>
        <v>3.3685252391949847</v>
      </c>
      <c r="K63" s="341"/>
      <c r="L63" s="357">
        <f>L59+L61</f>
        <v>0</v>
      </c>
      <c r="M63" s="341"/>
      <c r="N63" s="357">
        <f>N59+N61</f>
        <v>3.3685252391949847</v>
      </c>
      <c r="P63" s="357">
        <f>P59+P61+0.01</f>
        <v>8.0234505862646568</v>
      </c>
      <c r="Q63" s="341"/>
      <c r="R63" s="357">
        <f>R59+R61</f>
        <v>0</v>
      </c>
      <c r="S63" s="341"/>
      <c r="T63" s="357">
        <f>T59+T61+0.01</f>
        <v>8.0234505862646568</v>
      </c>
      <c r="V63" s="357">
        <f>V59+V61+0.01</f>
        <v>3.3947360834814653</v>
      </c>
      <c r="W63" s="341"/>
      <c r="X63" s="357">
        <f>X59+X61</f>
        <v>0</v>
      </c>
      <c r="Y63" s="341"/>
      <c r="Z63" s="357">
        <f>Z59+Z61+0.01</f>
        <v>3.3947360834814653</v>
      </c>
    </row>
    <row r="64" spans="1:27" ht="5.0999999999999996" customHeight="1" thickTop="1" x14ac:dyDescent="0.25">
      <c r="A64" s="310"/>
      <c r="B64" s="310"/>
      <c r="C64" s="341"/>
      <c r="D64" s="352"/>
      <c r="E64" s="341"/>
      <c r="F64" s="352"/>
      <c r="G64" s="341"/>
      <c r="H64" s="352"/>
      <c r="J64" s="352"/>
      <c r="K64" s="341"/>
      <c r="L64" s="352"/>
      <c r="M64" s="341"/>
      <c r="N64" s="352"/>
      <c r="P64" s="352"/>
      <c r="Q64" s="341"/>
      <c r="R64" s="352"/>
      <c r="S64" s="341"/>
      <c r="T64" s="352"/>
      <c r="V64" s="352"/>
      <c r="W64" s="341"/>
      <c r="X64" s="352"/>
      <c r="Y64" s="341"/>
      <c r="Z64" s="352"/>
    </row>
    <row r="65" spans="1:26" ht="15.75" x14ac:dyDescent="0.25">
      <c r="A65" s="355" t="s">
        <v>212</v>
      </c>
      <c r="B65" s="310"/>
      <c r="C65" s="341"/>
      <c r="D65" s="352"/>
      <c r="E65" s="341"/>
      <c r="F65" s="352"/>
      <c r="G65" s="341"/>
      <c r="H65" s="352"/>
      <c r="J65" s="352"/>
      <c r="K65" s="341"/>
      <c r="L65" s="352"/>
      <c r="M65" s="341"/>
      <c r="N65" s="352"/>
      <c r="P65" s="352"/>
      <c r="Q65" s="341"/>
      <c r="R65" s="352"/>
      <c r="S65" s="341"/>
      <c r="T65" s="352"/>
      <c r="V65" s="352"/>
      <c r="W65" s="341"/>
      <c r="X65" s="352"/>
      <c r="Y65" s="341"/>
      <c r="Z65" s="352"/>
    </row>
    <row r="66" spans="1:26" ht="5.0999999999999996" customHeight="1" x14ac:dyDescent="0.25">
      <c r="A66" s="355"/>
      <c r="B66" s="310"/>
      <c r="C66" s="341"/>
      <c r="D66" s="352"/>
      <c r="E66" s="341"/>
      <c r="F66" s="352"/>
      <c r="G66" s="341"/>
      <c r="H66" s="352"/>
      <c r="J66" s="352"/>
      <c r="K66" s="341"/>
      <c r="L66" s="352"/>
      <c r="M66" s="341"/>
      <c r="N66" s="352"/>
      <c r="P66" s="352"/>
      <c r="Q66" s="341"/>
      <c r="R66" s="352"/>
      <c r="S66" s="341"/>
      <c r="T66" s="352"/>
      <c r="V66" s="352"/>
      <c r="W66" s="341"/>
      <c r="X66" s="352"/>
      <c r="Y66" s="341"/>
      <c r="Z66" s="352"/>
    </row>
    <row r="67" spans="1:26" ht="15.75" x14ac:dyDescent="0.25">
      <c r="A67" s="346" t="s">
        <v>209</v>
      </c>
      <c r="B67" s="310"/>
      <c r="C67" s="341"/>
      <c r="D67" s="350">
        <f>D136</f>
        <v>2.9089731130547456</v>
      </c>
      <c r="E67" s="341"/>
      <c r="F67" s="350">
        <f>+H67-D67</f>
        <v>-0.29802397149335924</v>
      </c>
      <c r="G67" s="341"/>
      <c r="H67" s="350">
        <f>H136</f>
        <v>2.6109491415613864</v>
      </c>
      <c r="J67" s="350">
        <f>J45/307.1</f>
        <v>3.3246499511559748</v>
      </c>
      <c r="K67" s="341"/>
      <c r="L67" s="350">
        <v>-0.39</v>
      </c>
      <c r="M67" s="341"/>
      <c r="N67" s="350">
        <f>N45/307.1</f>
        <v>2.9273852165418428</v>
      </c>
      <c r="P67" s="350">
        <f>P45/302.1+0.01</f>
        <v>3.6147666335650444</v>
      </c>
      <c r="Q67" s="341"/>
      <c r="R67" s="350">
        <f>+T67-P67</f>
        <v>0</v>
      </c>
      <c r="S67" s="341"/>
      <c r="T67" s="350">
        <f>T45/302.1+0.01</f>
        <v>3.6147666335650444</v>
      </c>
      <c r="V67" s="350">
        <f>V45/295.2</f>
        <v>3.2486449864498645</v>
      </c>
      <c r="W67" s="341"/>
      <c r="X67" s="350">
        <f>+Z67-V67</f>
        <v>0</v>
      </c>
      <c r="Y67" s="341"/>
      <c r="Z67" s="350">
        <f>Z45/295.2</f>
        <v>3.2486449864498645</v>
      </c>
    </row>
    <row r="68" spans="1:26" ht="5.0999999999999996" customHeight="1" x14ac:dyDescent="0.25">
      <c r="A68" s="346"/>
      <c r="B68" s="310"/>
      <c r="C68" s="341"/>
      <c r="D68" s="352"/>
      <c r="E68" s="341"/>
      <c r="F68" s="352"/>
      <c r="G68" s="341"/>
      <c r="H68" s="352"/>
      <c r="J68" s="352"/>
      <c r="K68" s="341"/>
      <c r="L68" s="352"/>
      <c r="M68" s="341"/>
      <c r="N68" s="352"/>
      <c r="P68" s="352"/>
      <c r="Q68" s="341"/>
      <c r="R68" s="352"/>
      <c r="S68" s="341"/>
      <c r="T68" s="352"/>
      <c r="V68" s="352"/>
      <c r="W68" s="341"/>
      <c r="X68" s="352"/>
      <c r="Y68" s="341"/>
      <c r="Z68" s="352"/>
    </row>
    <row r="69" spans="1:26" ht="15.75" x14ac:dyDescent="0.25">
      <c r="A69" s="346" t="s">
        <v>210</v>
      </c>
      <c r="B69" s="310"/>
      <c r="C69" s="341"/>
      <c r="D69" s="354">
        <f>D138</f>
        <v>0</v>
      </c>
      <c r="E69" s="341"/>
      <c r="F69" s="354">
        <f>+H69-D69</f>
        <v>0.29802397149335924</v>
      </c>
      <c r="G69" s="341"/>
      <c r="H69" s="354">
        <f>H138</f>
        <v>0.29802397149335924</v>
      </c>
      <c r="J69" s="354">
        <v>0</v>
      </c>
      <c r="K69" s="341"/>
      <c r="L69" s="354">
        <f>+N69-J69</f>
        <v>0.38726473461413219</v>
      </c>
      <c r="M69" s="341"/>
      <c r="N69" s="354">
        <f>(N49/307.1)-0.01</f>
        <v>0.38726473461413219</v>
      </c>
      <c r="P69" s="354">
        <f>(P49/302.1)</f>
        <v>4.3230718305196953</v>
      </c>
      <c r="Q69" s="341"/>
      <c r="R69" s="354">
        <f>+T69-P69</f>
        <v>0</v>
      </c>
      <c r="S69" s="341"/>
      <c r="T69" s="354">
        <f>(T49/302.1)</f>
        <v>4.3230718305196953</v>
      </c>
      <c r="V69" s="354">
        <f>(V49/295.2)</f>
        <v>9.8238482384823855E-2</v>
      </c>
      <c r="W69" s="341"/>
      <c r="X69" s="354">
        <f>+Z69-V69</f>
        <v>0</v>
      </c>
      <c r="Y69" s="341"/>
      <c r="Z69" s="354">
        <f>(Z49/295.2)</f>
        <v>9.8238482384823855E-2</v>
      </c>
    </row>
    <row r="70" spans="1:26" ht="5.0999999999999996" customHeight="1" x14ac:dyDescent="0.25">
      <c r="A70" s="346"/>
      <c r="B70" s="310"/>
      <c r="C70" s="341"/>
      <c r="D70" s="352"/>
      <c r="E70" s="341"/>
      <c r="F70" s="352"/>
      <c r="G70" s="341"/>
      <c r="H70" s="352"/>
      <c r="J70" s="352"/>
      <c r="K70" s="341"/>
      <c r="L70" s="352"/>
      <c r="M70" s="341"/>
      <c r="N70" s="352"/>
      <c r="P70" s="352"/>
      <c r="Q70" s="341"/>
      <c r="R70" s="352"/>
      <c r="S70" s="341"/>
      <c r="T70" s="352"/>
      <c r="V70" s="352"/>
      <c r="W70" s="341"/>
      <c r="X70" s="352"/>
      <c r="Y70" s="341"/>
      <c r="Z70" s="352"/>
    </row>
    <row r="71" spans="1:26" ht="16.5" thickBot="1" x14ac:dyDescent="0.3">
      <c r="A71" s="355" t="s">
        <v>213</v>
      </c>
      <c r="B71" s="310"/>
      <c r="C71" s="341"/>
      <c r="D71" s="357">
        <f>D67+D69</f>
        <v>2.9089731130547456</v>
      </c>
      <c r="E71" s="341"/>
      <c r="F71" s="357">
        <f>F67+F69</f>
        <v>0</v>
      </c>
      <c r="G71" s="341"/>
      <c r="H71" s="357">
        <f>H67+H69</f>
        <v>2.9089731130547456</v>
      </c>
      <c r="J71" s="357">
        <f>J67+J69</f>
        <v>3.3246499511559748</v>
      </c>
      <c r="K71" s="341"/>
      <c r="L71" s="357">
        <f>L67+L69</f>
        <v>-2.7352653858678244E-3</v>
      </c>
      <c r="M71" s="341"/>
      <c r="N71" s="357">
        <f>N67+N69+0.01</f>
        <v>3.3246499511559748</v>
      </c>
      <c r="P71" s="357">
        <f>P67+P69-0.01</f>
        <v>7.9278384640847399</v>
      </c>
      <c r="Q71" s="341"/>
      <c r="R71" s="357">
        <f>R67+R69</f>
        <v>0</v>
      </c>
      <c r="S71" s="341"/>
      <c r="T71" s="357">
        <f>T67+T69-0.01</f>
        <v>7.9278384640847399</v>
      </c>
      <c r="V71" s="357">
        <f>V67+V69</f>
        <v>3.3468834688346885</v>
      </c>
      <c r="W71" s="341"/>
      <c r="X71" s="357">
        <f>X67+X69</f>
        <v>0</v>
      </c>
      <c r="Y71" s="341"/>
      <c r="Z71" s="357">
        <f>Z67+Z69</f>
        <v>3.3468834688346885</v>
      </c>
    </row>
    <row r="72" spans="1:26" ht="16.5" thickTop="1" x14ac:dyDescent="0.25">
      <c r="A72" s="358"/>
      <c r="B72" s="359"/>
      <c r="C72" s="361"/>
      <c r="D72" s="360"/>
      <c r="E72" s="361"/>
      <c r="F72" s="360"/>
      <c r="G72" s="361"/>
      <c r="H72" s="360"/>
      <c r="J72" s="360"/>
      <c r="K72" s="361"/>
      <c r="L72" s="360"/>
      <c r="M72" s="361"/>
      <c r="N72" s="360"/>
      <c r="P72" s="360"/>
      <c r="Q72" s="361"/>
      <c r="R72" s="360"/>
      <c r="S72" s="361"/>
      <c r="T72" s="360"/>
      <c r="V72" s="360"/>
      <c r="W72" s="361"/>
      <c r="X72" s="360"/>
      <c r="Y72" s="361"/>
      <c r="Z72" s="360"/>
    </row>
    <row r="73" spans="1:26" ht="5.25" customHeight="1" x14ac:dyDescent="0.25">
      <c r="A73" s="362"/>
      <c r="B73" s="362"/>
      <c r="C73" s="365"/>
      <c r="D73" s="363"/>
      <c r="E73" s="365"/>
      <c r="F73" s="363"/>
      <c r="G73" s="365"/>
      <c r="H73" s="363"/>
      <c r="J73" s="363"/>
      <c r="K73" s="365"/>
      <c r="L73" s="363"/>
      <c r="M73" s="365"/>
      <c r="N73" s="363"/>
      <c r="P73" s="363"/>
      <c r="Q73" s="365"/>
      <c r="R73" s="363"/>
      <c r="S73" s="365"/>
      <c r="T73" s="363"/>
      <c r="V73" s="363"/>
      <c r="W73" s="365"/>
      <c r="X73" s="363"/>
      <c r="Y73" s="365"/>
      <c r="Z73" s="363"/>
    </row>
    <row r="74" spans="1:26" s="368" customFormat="1" ht="5.25" customHeight="1" x14ac:dyDescent="0.25">
      <c r="A74" s="366"/>
      <c r="B74" s="366"/>
      <c r="C74" s="369"/>
      <c r="D74" s="367"/>
      <c r="E74" s="369"/>
      <c r="F74" s="367"/>
      <c r="G74" s="369"/>
      <c r="H74" s="367"/>
      <c r="J74" s="367"/>
      <c r="K74" s="369"/>
      <c r="L74" s="367"/>
      <c r="M74" s="369"/>
      <c r="N74" s="367"/>
      <c r="P74" s="367"/>
      <c r="Q74" s="369"/>
      <c r="R74" s="367"/>
      <c r="S74" s="369"/>
      <c r="T74" s="367"/>
      <c r="V74" s="367"/>
      <c r="W74" s="369"/>
      <c r="X74" s="367"/>
      <c r="Y74" s="369"/>
      <c r="Z74" s="367"/>
    </row>
    <row r="75" spans="1:26" ht="16.5" thickBot="1" x14ac:dyDescent="0.3">
      <c r="A75" s="311"/>
      <c r="B75" s="311"/>
      <c r="C75" s="301"/>
      <c r="D75" s="405" t="s">
        <v>220</v>
      </c>
      <c r="E75" s="405"/>
      <c r="F75" s="405"/>
      <c r="G75" s="405"/>
      <c r="H75" s="405"/>
      <c r="J75" s="405" t="s">
        <v>221</v>
      </c>
      <c r="K75" s="405"/>
      <c r="L75" s="405"/>
      <c r="M75" s="405"/>
      <c r="N75" s="405"/>
      <c r="P75" s="405" t="s">
        <v>232</v>
      </c>
      <c r="Q75" s="405"/>
      <c r="R75" s="405"/>
      <c r="S75" s="405"/>
      <c r="T75" s="405"/>
      <c r="V75" s="405" t="s">
        <v>233</v>
      </c>
      <c r="W75" s="405"/>
      <c r="X75" s="405"/>
      <c r="Y75" s="405"/>
      <c r="Z75" s="405"/>
    </row>
    <row r="76" spans="1:26" s="316" customFormat="1" ht="47.25" x14ac:dyDescent="0.25">
      <c r="A76" s="305" t="s">
        <v>13</v>
      </c>
      <c r="B76" s="305"/>
      <c r="C76" s="315"/>
      <c r="D76" s="313" t="s">
        <v>197</v>
      </c>
      <c r="E76" s="314"/>
      <c r="F76" s="313" t="s">
        <v>198</v>
      </c>
      <c r="G76" s="314"/>
      <c r="H76" s="313" t="s">
        <v>199</v>
      </c>
      <c r="J76" s="313" t="s">
        <v>197</v>
      </c>
      <c r="K76" s="314"/>
      <c r="L76" s="313" t="s">
        <v>198</v>
      </c>
      <c r="M76" s="314"/>
      <c r="N76" s="313" t="s">
        <v>199</v>
      </c>
      <c r="P76" s="313" t="s">
        <v>197</v>
      </c>
      <c r="Q76" s="314"/>
      <c r="R76" s="313" t="s">
        <v>198</v>
      </c>
      <c r="S76" s="314"/>
      <c r="T76" s="313" t="s">
        <v>199</v>
      </c>
      <c r="V76" s="313" t="s">
        <v>197</v>
      </c>
      <c r="W76" s="314"/>
      <c r="X76" s="313" t="s">
        <v>198</v>
      </c>
      <c r="Y76" s="314"/>
      <c r="Z76" s="313" t="s">
        <v>199</v>
      </c>
    </row>
    <row r="77" spans="1:26" ht="4.1500000000000004" customHeight="1" x14ac:dyDescent="0.25">
      <c r="A77" s="317"/>
      <c r="B77" s="310"/>
      <c r="C77" s="319"/>
      <c r="D77" s="318"/>
      <c r="E77" s="301"/>
      <c r="F77" s="318"/>
      <c r="G77" s="301"/>
      <c r="H77" s="318"/>
      <c r="J77" s="318"/>
      <c r="K77" s="301"/>
      <c r="L77" s="318"/>
      <c r="M77" s="301"/>
      <c r="N77" s="318"/>
      <c r="P77" s="318"/>
      <c r="Q77" s="301"/>
      <c r="R77" s="318"/>
      <c r="S77" s="301"/>
      <c r="T77" s="318"/>
      <c r="V77" s="318"/>
      <c r="W77" s="301"/>
      <c r="X77" s="318"/>
      <c r="Y77" s="301"/>
      <c r="Z77" s="318"/>
    </row>
    <row r="78" spans="1:26" ht="15.75" x14ac:dyDescent="0.25">
      <c r="A78" s="321" t="s">
        <v>97</v>
      </c>
      <c r="B78" s="310"/>
      <c r="C78" s="331"/>
      <c r="D78" s="322">
        <v>3799</v>
      </c>
      <c r="E78" s="314"/>
      <c r="F78" s="322">
        <v>0</v>
      </c>
      <c r="G78" s="322"/>
      <c r="H78" s="322">
        <f>SUM(D78,F78)</f>
        <v>3799</v>
      </c>
      <c r="I78" s="322"/>
      <c r="J78" s="322">
        <v>8174</v>
      </c>
      <c r="K78" s="322"/>
      <c r="L78" s="322">
        <v>0</v>
      </c>
      <c r="M78" s="322"/>
      <c r="N78" s="322">
        <f>SUM(J78,L78)</f>
        <v>8174</v>
      </c>
      <c r="P78" s="322">
        <v>12362</v>
      </c>
      <c r="Q78" s="322"/>
      <c r="R78" s="322">
        <v>0</v>
      </c>
      <c r="S78" s="322"/>
      <c r="T78" s="322">
        <f>SUM(P78,R78)</f>
        <v>12362</v>
      </c>
      <c r="V78" s="322">
        <v>17769</v>
      </c>
      <c r="W78" s="322"/>
      <c r="X78" s="322">
        <v>0</v>
      </c>
      <c r="Y78" s="322"/>
      <c r="Z78" s="322">
        <f>SUM(V78,X78)</f>
        <v>17769</v>
      </c>
    </row>
    <row r="79" spans="1:26" ht="4.1500000000000004" customHeight="1" x14ac:dyDescent="0.25">
      <c r="A79" s="321"/>
      <c r="B79" s="310"/>
      <c r="C79" s="331"/>
      <c r="D79" s="322"/>
      <c r="E79" s="314"/>
      <c r="F79" s="322"/>
      <c r="G79" s="322"/>
      <c r="H79" s="322"/>
      <c r="I79" s="322"/>
      <c r="J79" s="322"/>
      <c r="K79" s="322"/>
      <c r="L79" s="322"/>
      <c r="M79" s="322"/>
      <c r="N79" s="322"/>
      <c r="P79" s="322"/>
      <c r="Q79" s="322"/>
      <c r="R79" s="322"/>
      <c r="S79" s="322"/>
      <c r="T79" s="322"/>
      <c r="V79" s="322"/>
      <c r="W79" s="322"/>
      <c r="X79" s="322"/>
      <c r="Y79" s="322"/>
      <c r="Z79" s="322"/>
    </row>
    <row r="80" spans="1:26" ht="15.75" x14ac:dyDescent="0.25">
      <c r="A80" s="321" t="s">
        <v>200</v>
      </c>
      <c r="B80" s="310"/>
      <c r="C80" s="331"/>
      <c r="D80" s="326">
        <v>1334</v>
      </c>
      <c r="E80" s="324"/>
      <c r="F80" s="326">
        <v>-1334</v>
      </c>
      <c r="G80" s="324"/>
      <c r="H80" s="326">
        <f>SUM(D80,F80)</f>
        <v>0</v>
      </c>
      <c r="I80" s="371"/>
      <c r="J80" s="326">
        <v>2671</v>
      </c>
      <c r="K80" s="324"/>
      <c r="L80" s="326">
        <v>-2671</v>
      </c>
      <c r="M80" s="324"/>
      <c r="N80" s="326">
        <v>0</v>
      </c>
      <c r="P80" s="326">
        <v>0</v>
      </c>
      <c r="Q80" s="324"/>
      <c r="R80" s="333">
        <f>-P80</f>
        <v>0</v>
      </c>
      <c r="S80" s="324"/>
      <c r="T80" s="326">
        <v>0</v>
      </c>
      <c r="V80" s="326">
        <v>0</v>
      </c>
      <c r="W80" s="324"/>
      <c r="X80" s="326">
        <f>-V80</f>
        <v>0</v>
      </c>
      <c r="Y80" s="324"/>
      <c r="Z80" s="326">
        <v>0</v>
      </c>
    </row>
    <row r="81" spans="1:26" ht="3.6" customHeight="1" x14ac:dyDescent="0.25">
      <c r="A81" s="321"/>
      <c r="B81" s="310"/>
      <c r="C81" s="331"/>
      <c r="D81" s="326"/>
      <c r="E81" s="324"/>
      <c r="F81" s="326"/>
      <c r="G81" s="324"/>
      <c r="H81" s="326"/>
      <c r="I81" s="371"/>
      <c r="J81" s="326"/>
      <c r="K81" s="324"/>
      <c r="L81" s="326"/>
      <c r="M81" s="324"/>
      <c r="N81" s="326"/>
      <c r="P81" s="326"/>
      <c r="Q81" s="324"/>
      <c r="R81" s="326"/>
      <c r="S81" s="324"/>
      <c r="T81" s="326"/>
      <c r="V81" s="326"/>
      <c r="W81" s="324"/>
      <c r="X81" s="326"/>
      <c r="Y81" s="324"/>
      <c r="Z81" s="326"/>
    </row>
    <row r="82" spans="1:26" s="316" customFormat="1" ht="15.75" x14ac:dyDescent="0.25">
      <c r="A82" s="321" t="s">
        <v>98</v>
      </c>
      <c r="B82" s="310"/>
      <c r="C82" s="334"/>
      <c r="D82" s="326">
        <v>1434</v>
      </c>
      <c r="E82" s="324"/>
      <c r="F82" s="372">
        <v>0</v>
      </c>
      <c r="G82" s="324"/>
      <c r="H82" s="326">
        <f t="shared" ref="H82:H86" si="6">SUM(D82,F82)</f>
        <v>1434</v>
      </c>
      <c r="I82" s="371"/>
      <c r="J82" s="326">
        <v>3114</v>
      </c>
      <c r="K82" s="324"/>
      <c r="L82" s="372">
        <v>0</v>
      </c>
      <c r="M82" s="324"/>
      <c r="N82" s="326">
        <f>SUM(J82,L82)</f>
        <v>3114</v>
      </c>
      <c r="P82" s="326">
        <v>4851</v>
      </c>
      <c r="Q82" s="324"/>
      <c r="R82" s="372">
        <v>0</v>
      </c>
      <c r="S82" s="324"/>
      <c r="T82" s="326">
        <f>SUM(P82,R82)</f>
        <v>4851</v>
      </c>
      <c r="V82" s="326">
        <v>6608</v>
      </c>
      <c r="W82" s="324"/>
      <c r="X82" s="372">
        <v>0</v>
      </c>
      <c r="Y82" s="324"/>
      <c r="Z82" s="326">
        <f>SUM(V82,X82)</f>
        <v>6608</v>
      </c>
    </row>
    <row r="83" spans="1:26" s="316" customFormat="1" ht="4.1500000000000004" customHeight="1" x14ac:dyDescent="0.25">
      <c r="A83" s="321"/>
      <c r="B83" s="310"/>
      <c r="C83" s="334"/>
      <c r="D83" s="326"/>
      <c r="E83" s="324"/>
      <c r="F83" s="372"/>
      <c r="G83" s="324"/>
      <c r="H83" s="326"/>
      <c r="I83" s="371"/>
      <c r="J83" s="326"/>
      <c r="K83" s="324"/>
      <c r="L83" s="372"/>
      <c r="M83" s="324"/>
      <c r="N83" s="326"/>
      <c r="P83" s="326"/>
      <c r="Q83" s="324"/>
      <c r="R83" s="372"/>
      <c r="S83" s="324"/>
      <c r="T83" s="326"/>
      <c r="V83" s="326"/>
      <c r="W83" s="324"/>
      <c r="X83" s="372"/>
      <c r="Y83" s="324"/>
      <c r="Z83" s="326"/>
    </row>
    <row r="84" spans="1:26" s="316" customFormat="1" ht="15.75" x14ac:dyDescent="0.25">
      <c r="A84" s="321" t="s">
        <v>126</v>
      </c>
      <c r="B84" s="310"/>
      <c r="C84" s="334"/>
      <c r="D84" s="326">
        <v>3004</v>
      </c>
      <c r="E84" s="324"/>
      <c r="F84" s="372">
        <v>0</v>
      </c>
      <c r="G84" s="324"/>
      <c r="H84" s="326">
        <f t="shared" si="6"/>
        <v>3004</v>
      </c>
      <c r="I84" s="371"/>
      <c r="J84" s="326">
        <v>6307</v>
      </c>
      <c r="K84" s="324"/>
      <c r="L84" s="372">
        <v>0</v>
      </c>
      <c r="M84" s="324"/>
      <c r="N84" s="326">
        <f t="shared" ref="N84:N86" si="7">SUM(J84,L84)</f>
        <v>6307</v>
      </c>
      <c r="P84" s="326">
        <v>9653</v>
      </c>
      <c r="Q84" s="324"/>
      <c r="R84" s="372">
        <v>0</v>
      </c>
      <c r="S84" s="324"/>
      <c r="T84" s="326">
        <f t="shared" ref="T84:T86" si="8">SUM(P84,R84)</f>
        <v>9653</v>
      </c>
      <c r="V84" s="326">
        <v>13462</v>
      </c>
      <c r="W84" s="324"/>
      <c r="X84" s="372">
        <v>0</v>
      </c>
      <c r="Y84" s="324"/>
      <c r="Z84" s="326">
        <f t="shared" ref="Z84:Z86" si="9">SUM(V84,X84)</f>
        <v>13462</v>
      </c>
    </row>
    <row r="85" spans="1:26" s="316" customFormat="1" ht="3.6" customHeight="1" x14ac:dyDescent="0.25">
      <c r="A85" s="321"/>
      <c r="B85" s="310"/>
      <c r="C85" s="334"/>
      <c r="D85" s="326"/>
      <c r="E85" s="324"/>
      <c r="F85" s="372"/>
      <c r="G85" s="324"/>
      <c r="H85" s="326"/>
      <c r="I85" s="371"/>
      <c r="J85" s="326"/>
      <c r="K85" s="324"/>
      <c r="L85" s="372"/>
      <c r="M85" s="324"/>
      <c r="N85" s="326"/>
      <c r="P85" s="326"/>
      <c r="Q85" s="324"/>
      <c r="R85" s="372"/>
      <c r="S85" s="324"/>
      <c r="T85" s="326"/>
      <c r="V85" s="326"/>
      <c r="W85" s="324"/>
      <c r="X85" s="372"/>
      <c r="Y85" s="324"/>
      <c r="Z85" s="326"/>
    </row>
    <row r="86" spans="1:26" s="316" customFormat="1" ht="15.75" x14ac:dyDescent="0.25">
      <c r="A86" s="321" t="s">
        <v>99</v>
      </c>
      <c r="B86" s="310"/>
      <c r="C86" s="334"/>
      <c r="D86" s="372">
        <v>2131</v>
      </c>
      <c r="E86" s="327"/>
      <c r="F86" s="372">
        <f>F78+F82</f>
        <v>0</v>
      </c>
      <c r="G86" s="327"/>
      <c r="H86" s="372">
        <f t="shared" si="6"/>
        <v>2131</v>
      </c>
      <c r="I86" s="327"/>
      <c r="J86" s="373">
        <v>4350</v>
      </c>
      <c r="K86" s="374"/>
      <c r="L86" s="372">
        <f>L78+L82</f>
        <v>0</v>
      </c>
      <c r="M86" s="374"/>
      <c r="N86" s="326">
        <f t="shared" si="7"/>
        <v>4350</v>
      </c>
      <c r="P86" s="326">
        <v>6630</v>
      </c>
      <c r="Q86" s="374"/>
      <c r="R86" s="372">
        <f>R78+R82</f>
        <v>0</v>
      </c>
      <c r="S86" s="374"/>
      <c r="T86" s="326">
        <f t="shared" si="8"/>
        <v>6630</v>
      </c>
      <c r="V86" s="373">
        <v>9409</v>
      </c>
      <c r="W86" s="374"/>
      <c r="X86" s="372">
        <f>X78+X82</f>
        <v>0</v>
      </c>
      <c r="Y86" s="374"/>
      <c r="Z86" s="326">
        <f t="shared" si="9"/>
        <v>9409</v>
      </c>
    </row>
    <row r="87" spans="1:26" s="316" customFormat="1" ht="5.0999999999999996" customHeight="1" x14ac:dyDescent="0.25">
      <c r="A87" s="321"/>
      <c r="B87" s="310"/>
      <c r="C87" s="334"/>
      <c r="D87" s="318"/>
      <c r="E87" s="319"/>
      <c r="F87" s="318"/>
      <c r="G87" s="319"/>
      <c r="H87" s="318"/>
      <c r="I87" s="319"/>
      <c r="J87" s="320"/>
      <c r="K87" s="301"/>
      <c r="L87" s="318"/>
      <c r="M87" s="301"/>
      <c r="N87" s="318"/>
      <c r="P87" s="320"/>
      <c r="Q87" s="301"/>
      <c r="R87" s="318"/>
      <c r="S87" s="301"/>
      <c r="T87" s="318"/>
      <c r="V87" s="320"/>
      <c r="W87" s="301"/>
      <c r="X87" s="318"/>
      <c r="Y87" s="301"/>
      <c r="Z87" s="318"/>
    </row>
    <row r="88" spans="1:26" ht="15.75" x14ac:dyDescent="0.25">
      <c r="A88" s="328" t="s">
        <v>2</v>
      </c>
      <c r="B88" s="305"/>
      <c r="C88" s="334"/>
      <c r="D88" s="329">
        <f>SUM(D78:D86)</f>
        <v>11702</v>
      </c>
      <c r="E88" s="380"/>
      <c r="F88" s="329">
        <f>SUM(F78:F86)</f>
        <v>-1334</v>
      </c>
      <c r="G88" s="380"/>
      <c r="H88" s="329">
        <f>SUM(H78:H86)</f>
        <v>10368</v>
      </c>
      <c r="I88" s="380"/>
      <c r="J88" s="329">
        <f>SUM(J78:J86)</f>
        <v>24616</v>
      </c>
      <c r="K88" s="381"/>
      <c r="L88" s="329">
        <f>SUM(L78:L86)</f>
        <v>-2671</v>
      </c>
      <c r="M88" s="381"/>
      <c r="N88" s="329">
        <f>SUM(N78:N86)</f>
        <v>21945</v>
      </c>
      <c r="O88" s="382"/>
      <c r="P88" s="329">
        <v>33496</v>
      </c>
      <c r="Q88" s="381"/>
      <c r="R88" s="336">
        <f>SUM(R78:R86)</f>
        <v>0</v>
      </c>
      <c r="S88" s="381"/>
      <c r="T88" s="329">
        <f>SUM(T78:T86)</f>
        <v>33496</v>
      </c>
      <c r="U88" s="382"/>
      <c r="V88" s="329">
        <v>47248</v>
      </c>
      <c r="W88" s="371"/>
      <c r="X88" s="336">
        <f>SUM(X78:X86)</f>
        <v>0</v>
      </c>
      <c r="Y88" s="371"/>
      <c r="Z88" s="329">
        <f>SUM(Z78:Z86)</f>
        <v>47248</v>
      </c>
    </row>
    <row r="89" spans="1:26" ht="5.0999999999999996" customHeight="1" x14ac:dyDescent="0.25">
      <c r="A89" s="328"/>
      <c r="B89" s="305"/>
      <c r="C89" s="334"/>
      <c r="D89" s="333"/>
      <c r="E89" s="331"/>
      <c r="F89" s="333"/>
      <c r="G89" s="331"/>
      <c r="H89" s="333"/>
      <c r="I89" s="331"/>
      <c r="J89" s="333"/>
      <c r="K89" s="315"/>
      <c r="L89" s="333"/>
      <c r="M89" s="315"/>
      <c r="N89" s="333"/>
      <c r="P89" s="333"/>
      <c r="Q89" s="315"/>
      <c r="R89" s="333"/>
      <c r="S89" s="315"/>
      <c r="T89" s="333"/>
      <c r="V89" s="333"/>
      <c r="W89" s="315"/>
      <c r="X89" s="333"/>
      <c r="Y89" s="315"/>
      <c r="Z89" s="333"/>
    </row>
    <row r="90" spans="1:26" ht="15.75" x14ac:dyDescent="0.25">
      <c r="A90" s="321" t="s">
        <v>97</v>
      </c>
      <c r="B90" s="305"/>
      <c r="C90" s="334"/>
      <c r="D90" s="333">
        <v>420</v>
      </c>
      <c r="E90" s="334"/>
      <c r="F90" s="333">
        <v>0</v>
      </c>
      <c r="G90" s="334"/>
      <c r="H90" s="333">
        <f t="shared" ref="H90:H98" si="10">SUM(D90,F90)</f>
        <v>420</v>
      </c>
      <c r="I90" s="334"/>
      <c r="J90" s="333">
        <v>898</v>
      </c>
      <c r="K90" s="301"/>
      <c r="L90" s="333">
        <v>0</v>
      </c>
      <c r="M90" s="301"/>
      <c r="N90" s="326">
        <f t="shared" ref="N90:N98" si="11">SUM(J90,L90)</f>
        <v>898</v>
      </c>
      <c r="P90" s="326">
        <v>1335</v>
      </c>
      <c r="Q90" s="301"/>
      <c r="R90" s="333">
        <v>0</v>
      </c>
      <c r="S90" s="301"/>
      <c r="T90" s="326">
        <f t="shared" ref="T90:T98" si="12">SUM(P90,R90)</f>
        <v>1335</v>
      </c>
      <c r="V90" s="333">
        <v>1887</v>
      </c>
      <c r="W90" s="301"/>
      <c r="X90" s="333">
        <v>0</v>
      </c>
      <c r="Y90" s="301"/>
      <c r="Z90" s="326">
        <f t="shared" ref="Z90:Z98" si="13">SUM(V90,X90)</f>
        <v>1887</v>
      </c>
    </row>
    <row r="91" spans="1:26" ht="4.1500000000000004" customHeight="1" x14ac:dyDescent="0.25">
      <c r="A91" s="321"/>
      <c r="B91" s="305"/>
      <c r="C91" s="334"/>
      <c r="D91" s="333"/>
      <c r="E91" s="334"/>
      <c r="F91" s="333"/>
      <c r="G91" s="334"/>
      <c r="H91" s="333"/>
      <c r="I91" s="334"/>
      <c r="J91" s="333"/>
      <c r="K91" s="301"/>
      <c r="L91" s="333"/>
      <c r="M91" s="301"/>
      <c r="N91" s="326"/>
      <c r="P91" s="326"/>
      <c r="Q91" s="301"/>
      <c r="R91" s="333"/>
      <c r="S91" s="301"/>
      <c r="T91" s="326"/>
      <c r="V91" s="333"/>
      <c r="W91" s="301"/>
      <c r="X91" s="333"/>
      <c r="Y91" s="301"/>
      <c r="Z91" s="326"/>
    </row>
    <row r="92" spans="1:26" ht="15.75" x14ac:dyDescent="0.25">
      <c r="A92" s="321" t="s">
        <v>200</v>
      </c>
      <c r="B92" s="305"/>
      <c r="C92" s="334"/>
      <c r="D92" s="333">
        <v>109</v>
      </c>
      <c r="E92" s="334"/>
      <c r="F92" s="333">
        <v>-109</v>
      </c>
      <c r="G92" s="334"/>
      <c r="H92" s="333">
        <f t="shared" si="10"/>
        <v>0</v>
      </c>
      <c r="I92" s="334"/>
      <c r="J92" s="333">
        <v>260</v>
      </c>
      <c r="K92" s="301"/>
      <c r="L92" s="333">
        <v>-260</v>
      </c>
      <c r="M92" s="301"/>
      <c r="N92" s="326">
        <f t="shared" si="11"/>
        <v>0</v>
      </c>
      <c r="P92" s="326">
        <v>0</v>
      </c>
      <c r="Q92" s="301"/>
      <c r="R92" s="333">
        <f>-P92</f>
        <v>0</v>
      </c>
      <c r="S92" s="301"/>
      <c r="T92" s="326">
        <f t="shared" si="12"/>
        <v>0</v>
      </c>
      <c r="V92" s="333">
        <v>0</v>
      </c>
      <c r="W92" s="301"/>
      <c r="X92" s="333">
        <v>0</v>
      </c>
      <c r="Y92" s="301"/>
      <c r="Z92" s="326">
        <f t="shared" si="13"/>
        <v>0</v>
      </c>
    </row>
    <row r="93" spans="1:26" ht="3" customHeight="1" x14ac:dyDescent="0.25">
      <c r="A93" s="321"/>
      <c r="B93" s="305"/>
      <c r="C93" s="334"/>
      <c r="D93" s="333"/>
      <c r="E93" s="334"/>
      <c r="F93" s="333"/>
      <c r="G93" s="334"/>
      <c r="H93" s="333"/>
      <c r="I93" s="334"/>
      <c r="J93" s="333"/>
      <c r="K93" s="301"/>
      <c r="L93" s="333"/>
      <c r="M93" s="301"/>
      <c r="N93" s="326"/>
      <c r="P93" s="326"/>
      <c r="Q93" s="301"/>
      <c r="R93" s="333"/>
      <c r="S93" s="301"/>
      <c r="T93" s="326"/>
      <c r="V93" s="333"/>
      <c r="W93" s="301"/>
      <c r="X93" s="333"/>
      <c r="Y93" s="301"/>
      <c r="Z93" s="326"/>
    </row>
    <row r="94" spans="1:26" ht="15.75" x14ac:dyDescent="0.25">
      <c r="A94" s="321" t="s">
        <v>98</v>
      </c>
      <c r="B94" s="305"/>
      <c r="C94" s="334"/>
      <c r="D94" s="333">
        <v>221</v>
      </c>
      <c r="E94" s="334"/>
      <c r="F94" s="333">
        <v>0</v>
      </c>
      <c r="G94" s="334"/>
      <c r="H94" s="333">
        <f t="shared" si="10"/>
        <v>221</v>
      </c>
      <c r="I94" s="334"/>
      <c r="J94" s="333">
        <v>474</v>
      </c>
      <c r="K94" s="301"/>
      <c r="L94" s="333">
        <v>0</v>
      </c>
      <c r="M94" s="301"/>
      <c r="N94" s="326">
        <f t="shared" si="11"/>
        <v>474</v>
      </c>
      <c r="P94" s="326">
        <v>763</v>
      </c>
      <c r="Q94" s="301"/>
      <c r="R94" s="333">
        <v>0</v>
      </c>
      <c r="S94" s="301"/>
      <c r="T94" s="326">
        <f t="shared" si="12"/>
        <v>763</v>
      </c>
      <c r="V94" s="333">
        <v>1018</v>
      </c>
      <c r="W94" s="301"/>
      <c r="X94" s="333">
        <v>0</v>
      </c>
      <c r="Y94" s="301"/>
      <c r="Z94" s="326">
        <f t="shared" si="13"/>
        <v>1018</v>
      </c>
    </row>
    <row r="95" spans="1:26" ht="3" customHeight="1" x14ac:dyDescent="0.25">
      <c r="A95" s="321"/>
      <c r="B95" s="305"/>
      <c r="C95" s="334"/>
      <c r="D95" s="333"/>
      <c r="E95" s="334"/>
      <c r="F95" s="333"/>
      <c r="G95" s="334"/>
      <c r="H95" s="333"/>
      <c r="I95" s="334"/>
      <c r="J95" s="333"/>
      <c r="K95" s="301"/>
      <c r="L95" s="333"/>
      <c r="M95" s="301"/>
      <c r="N95" s="326"/>
      <c r="P95" s="326"/>
      <c r="Q95" s="301"/>
      <c r="R95" s="333"/>
      <c r="S95" s="301"/>
      <c r="T95" s="326"/>
      <c r="V95" s="333"/>
      <c r="W95" s="301"/>
      <c r="X95" s="333"/>
      <c r="Y95" s="301"/>
      <c r="Z95" s="326"/>
    </row>
    <row r="96" spans="1:26" ht="15.75" x14ac:dyDescent="0.25">
      <c r="A96" s="321" t="s">
        <v>126</v>
      </c>
      <c r="B96" s="305"/>
      <c r="C96" s="334"/>
      <c r="D96" s="333">
        <v>229</v>
      </c>
      <c r="E96" s="334"/>
      <c r="F96" s="333">
        <v>0</v>
      </c>
      <c r="G96" s="334"/>
      <c r="H96" s="333">
        <f t="shared" si="10"/>
        <v>229</v>
      </c>
      <c r="I96" s="334"/>
      <c r="J96" s="333">
        <v>431</v>
      </c>
      <c r="K96" s="301"/>
      <c r="L96" s="333">
        <v>0</v>
      </c>
      <c r="M96" s="301"/>
      <c r="N96" s="326">
        <f t="shared" si="11"/>
        <v>431</v>
      </c>
      <c r="P96" s="326">
        <v>678</v>
      </c>
      <c r="Q96" s="301"/>
      <c r="R96" s="333">
        <v>0</v>
      </c>
      <c r="S96" s="301"/>
      <c r="T96" s="326">
        <f t="shared" si="12"/>
        <v>678</v>
      </c>
      <c r="V96" s="333">
        <v>906</v>
      </c>
      <c r="W96" s="301"/>
      <c r="X96" s="333">
        <v>0</v>
      </c>
      <c r="Y96" s="301"/>
      <c r="Z96" s="326">
        <f t="shared" si="13"/>
        <v>906</v>
      </c>
    </row>
    <row r="97" spans="1:26" ht="3" customHeight="1" x14ac:dyDescent="0.25">
      <c r="A97" s="321"/>
      <c r="B97" s="305"/>
      <c r="C97" s="334"/>
      <c r="D97" s="333"/>
      <c r="E97" s="334"/>
      <c r="F97" s="333"/>
      <c r="G97" s="334"/>
      <c r="H97" s="333"/>
      <c r="I97" s="334"/>
      <c r="J97" s="333"/>
      <c r="K97" s="301"/>
      <c r="L97" s="333"/>
      <c r="M97" s="301"/>
      <c r="N97" s="326"/>
      <c r="P97" s="326"/>
      <c r="Q97" s="301"/>
      <c r="R97" s="333"/>
      <c r="S97" s="301"/>
      <c r="T97" s="326"/>
      <c r="V97" s="333"/>
      <c r="W97" s="301"/>
      <c r="X97" s="333"/>
      <c r="Y97" s="301"/>
      <c r="Z97" s="326"/>
    </row>
    <row r="98" spans="1:26" ht="15.75" x14ac:dyDescent="0.25">
      <c r="A98" s="321" t="s">
        <v>99</v>
      </c>
      <c r="B98" s="305"/>
      <c r="C98" s="334"/>
      <c r="D98" s="333">
        <v>244</v>
      </c>
      <c r="E98" s="334"/>
      <c r="F98" s="333">
        <v>0</v>
      </c>
      <c r="G98" s="334"/>
      <c r="H98" s="333">
        <f t="shared" si="10"/>
        <v>244</v>
      </c>
      <c r="I98" s="334"/>
      <c r="J98" s="333">
        <v>584</v>
      </c>
      <c r="K98" s="301"/>
      <c r="L98" s="333">
        <v>0</v>
      </c>
      <c r="M98" s="301"/>
      <c r="N98" s="326">
        <f t="shared" si="11"/>
        <v>584</v>
      </c>
      <c r="P98" s="326">
        <v>1034</v>
      </c>
      <c r="Q98" s="301"/>
      <c r="R98" s="333">
        <v>0</v>
      </c>
      <c r="S98" s="301"/>
      <c r="T98" s="326">
        <f t="shared" si="12"/>
        <v>1034</v>
      </c>
      <c r="V98" s="333">
        <v>1289</v>
      </c>
      <c r="W98" s="301"/>
      <c r="X98" s="333">
        <v>0</v>
      </c>
      <c r="Y98" s="301"/>
      <c r="Z98" s="326">
        <f t="shared" si="13"/>
        <v>1289</v>
      </c>
    </row>
    <row r="99" spans="1:26" ht="5.45" customHeight="1" x14ac:dyDescent="0.25">
      <c r="A99" s="335"/>
      <c r="B99" s="305"/>
      <c r="C99" s="334"/>
      <c r="D99" s="333"/>
      <c r="E99" s="334"/>
      <c r="F99" s="333"/>
      <c r="G99" s="334"/>
      <c r="H99" s="333"/>
      <c r="I99" s="334"/>
      <c r="J99" s="333"/>
      <c r="K99" s="301"/>
      <c r="L99" s="333"/>
      <c r="M99" s="301"/>
      <c r="N99" s="333"/>
      <c r="P99" s="333"/>
      <c r="Q99" s="301"/>
      <c r="R99" s="333"/>
      <c r="S99" s="301"/>
      <c r="T99" s="333"/>
      <c r="V99" s="333"/>
      <c r="W99" s="301"/>
      <c r="X99" s="333"/>
      <c r="Y99" s="301"/>
      <c r="Z99" s="333"/>
    </row>
    <row r="100" spans="1:26" ht="15.75" x14ac:dyDescent="0.25">
      <c r="A100" s="328" t="s">
        <v>201</v>
      </c>
      <c r="B100" s="305"/>
      <c r="C100" s="334"/>
      <c r="D100" s="336">
        <f>SUM(D90:D98)</f>
        <v>1223</v>
      </c>
      <c r="E100" s="334"/>
      <c r="F100" s="336">
        <f>SUM(F90:F98)</f>
        <v>-109</v>
      </c>
      <c r="G100" s="334"/>
      <c r="H100" s="336">
        <f>SUM(H90:H98)</f>
        <v>1114</v>
      </c>
      <c r="I100" s="334"/>
      <c r="J100" s="336">
        <f>SUM(J90:J98)</f>
        <v>2647</v>
      </c>
      <c r="K100" s="301"/>
      <c r="L100" s="336">
        <f>SUM(L90:L98)</f>
        <v>-260</v>
      </c>
      <c r="M100" s="301"/>
      <c r="N100" s="336">
        <f>SUM(N90:N98)</f>
        <v>2387</v>
      </c>
      <c r="P100" s="336">
        <v>3810</v>
      </c>
      <c r="Q100" s="301"/>
      <c r="R100" s="336">
        <f>SUM(R90:R98)</f>
        <v>0</v>
      </c>
      <c r="S100" s="301"/>
      <c r="T100" s="336">
        <f>SUM(T90:T98)</f>
        <v>3810</v>
      </c>
      <c r="V100" s="336">
        <v>5100</v>
      </c>
      <c r="W100" s="301"/>
      <c r="X100" s="336">
        <f>SUM(X90:X98)</f>
        <v>0</v>
      </c>
      <c r="Y100" s="301"/>
      <c r="Z100" s="336">
        <f>SUM(Z90:Z98)</f>
        <v>5100</v>
      </c>
    </row>
    <row r="101" spans="1:26" ht="4.1500000000000004" customHeight="1" x14ac:dyDescent="0.25">
      <c r="A101" s="328"/>
      <c r="B101" s="305"/>
      <c r="C101" s="334"/>
      <c r="D101" s="333"/>
      <c r="E101" s="334"/>
      <c r="F101" s="333"/>
      <c r="G101" s="334"/>
      <c r="H101" s="333"/>
      <c r="I101" s="334"/>
      <c r="J101" s="333"/>
      <c r="K101" s="301"/>
      <c r="L101" s="333"/>
      <c r="M101" s="301"/>
      <c r="N101" s="333"/>
      <c r="P101" s="333"/>
      <c r="Q101" s="301"/>
      <c r="R101" s="333"/>
      <c r="S101" s="301"/>
      <c r="T101" s="333"/>
      <c r="V101" s="333"/>
      <c r="W101" s="301"/>
      <c r="X101" s="333"/>
      <c r="Y101" s="301"/>
      <c r="Z101" s="333"/>
    </row>
    <row r="102" spans="1:26" ht="15.75" x14ac:dyDescent="0.25">
      <c r="A102" s="335" t="s">
        <v>202</v>
      </c>
      <c r="B102" s="305"/>
      <c r="C102" s="334"/>
      <c r="D102" s="333">
        <v>74</v>
      </c>
      <c r="E102" s="334"/>
      <c r="F102" s="333">
        <v>-30</v>
      </c>
      <c r="G102" s="334"/>
      <c r="H102" s="333">
        <f>D102+F102</f>
        <v>44</v>
      </c>
      <c r="I102" s="334"/>
      <c r="J102" s="333">
        <v>216</v>
      </c>
      <c r="K102" s="301"/>
      <c r="L102" s="333">
        <v>-70</v>
      </c>
      <c r="M102" s="301"/>
      <c r="N102" s="333">
        <f>J102+L102</f>
        <v>146</v>
      </c>
      <c r="P102" s="384">
        <v>311</v>
      </c>
      <c r="Q102" s="301"/>
      <c r="R102" s="333">
        <v>0</v>
      </c>
      <c r="S102" s="301"/>
      <c r="T102" s="333">
        <f>P102+R102</f>
        <v>311</v>
      </c>
      <c r="V102" s="333">
        <v>449</v>
      </c>
      <c r="W102" s="301"/>
      <c r="X102" s="333">
        <v>0</v>
      </c>
      <c r="Y102" s="301"/>
      <c r="Z102" s="333">
        <f>V102+X102</f>
        <v>449</v>
      </c>
    </row>
    <row r="103" spans="1:26" ht="4.1500000000000004" customHeight="1" x14ac:dyDescent="0.25">
      <c r="A103" s="335"/>
      <c r="B103" s="305"/>
      <c r="C103" s="334"/>
      <c r="D103" s="333"/>
      <c r="E103" s="334"/>
      <c r="F103" s="333"/>
      <c r="G103" s="334"/>
      <c r="H103" s="333"/>
      <c r="I103" s="334"/>
      <c r="J103" s="333"/>
      <c r="K103" s="301"/>
      <c r="L103" s="333"/>
      <c r="M103" s="301"/>
      <c r="N103" s="333"/>
      <c r="P103" s="333"/>
      <c r="Q103" s="301"/>
      <c r="R103" s="333"/>
      <c r="S103" s="301"/>
      <c r="T103" s="333"/>
      <c r="V103" s="333"/>
      <c r="W103" s="301"/>
      <c r="X103" s="333"/>
      <c r="Y103" s="301"/>
      <c r="Z103" s="333"/>
    </row>
    <row r="104" spans="1:26" ht="15.75" x14ac:dyDescent="0.25">
      <c r="A104" s="328" t="s">
        <v>203</v>
      </c>
      <c r="B104" s="310"/>
      <c r="C104" s="338"/>
      <c r="D104" s="337">
        <f>D100+D102</f>
        <v>1297</v>
      </c>
      <c r="E104" s="338"/>
      <c r="F104" s="337">
        <f>F100+F102</f>
        <v>-139</v>
      </c>
      <c r="G104" s="338"/>
      <c r="H104" s="337">
        <f>H100+H102</f>
        <v>1158</v>
      </c>
      <c r="I104" s="338"/>
      <c r="J104" s="337">
        <f>J100+J102</f>
        <v>2863</v>
      </c>
      <c r="K104" s="301"/>
      <c r="L104" s="337">
        <f>L100+L102</f>
        <v>-330</v>
      </c>
      <c r="M104" s="301"/>
      <c r="N104" s="337">
        <f>N100+N102</f>
        <v>2533</v>
      </c>
      <c r="P104" s="337">
        <v>4121</v>
      </c>
      <c r="Q104" s="301"/>
      <c r="R104" s="337">
        <v>0</v>
      </c>
      <c r="S104" s="301"/>
      <c r="T104" s="337">
        <f>T100+T102</f>
        <v>4121</v>
      </c>
      <c r="V104" s="337">
        <v>5549</v>
      </c>
      <c r="W104" s="301"/>
      <c r="X104" s="337">
        <f>X100+X102</f>
        <v>0</v>
      </c>
      <c r="Y104" s="301"/>
      <c r="Z104" s="337">
        <f>Z100+Z102</f>
        <v>5549</v>
      </c>
    </row>
    <row r="105" spans="1:26" ht="5.0999999999999996" customHeight="1" x14ac:dyDescent="0.25">
      <c r="A105" s="335"/>
      <c r="B105" s="310"/>
      <c r="C105" s="338"/>
      <c r="D105" s="339"/>
      <c r="E105" s="301"/>
      <c r="F105" s="339"/>
      <c r="G105" s="301"/>
      <c r="H105" s="339"/>
      <c r="J105" s="339"/>
      <c r="K105" s="301"/>
      <c r="L105" s="339"/>
      <c r="M105" s="301"/>
      <c r="N105" s="339"/>
      <c r="P105" s="339"/>
      <c r="Q105" s="301"/>
      <c r="R105" s="339"/>
      <c r="S105" s="301"/>
      <c r="T105" s="339"/>
      <c r="V105" s="339"/>
      <c r="W105" s="301"/>
      <c r="X105" s="339"/>
      <c r="Y105" s="301"/>
      <c r="Z105" s="339"/>
    </row>
    <row r="106" spans="1:26" ht="15.75" x14ac:dyDescent="0.25">
      <c r="A106" s="321" t="s">
        <v>4</v>
      </c>
      <c r="B106" s="310"/>
      <c r="C106" s="341"/>
      <c r="D106" s="333">
        <v>-164</v>
      </c>
      <c r="E106" s="301"/>
      <c r="F106" s="333">
        <v>-1</v>
      </c>
      <c r="G106" s="301"/>
      <c r="H106" s="333">
        <f>SUM(D106,F106)</f>
        <v>-165</v>
      </c>
      <c r="J106" s="333">
        <v>-330</v>
      </c>
      <c r="K106" s="301"/>
      <c r="L106" s="333">
        <v>0</v>
      </c>
      <c r="M106" s="301"/>
      <c r="N106" s="333">
        <f>SUM(J106,L106)</f>
        <v>-330</v>
      </c>
      <c r="P106" s="333">
        <v>-492</v>
      </c>
      <c r="Q106" s="301"/>
      <c r="R106" s="333">
        <v>0</v>
      </c>
      <c r="S106" s="301"/>
      <c r="T106" s="333">
        <f>SUM(P106,R106)</f>
        <v>-492</v>
      </c>
      <c r="V106" s="333">
        <v>-663</v>
      </c>
      <c r="W106" s="301"/>
      <c r="X106" s="333">
        <v>0</v>
      </c>
      <c r="Y106" s="301"/>
      <c r="Z106" s="333">
        <f>SUM(V106,X106)</f>
        <v>-663</v>
      </c>
    </row>
    <row r="107" spans="1:26" ht="5.0999999999999996" customHeight="1" x14ac:dyDescent="0.25">
      <c r="A107" s="321"/>
      <c r="B107" s="310"/>
      <c r="C107" s="341"/>
      <c r="D107" s="333"/>
      <c r="E107" s="301"/>
      <c r="F107" s="333"/>
      <c r="G107" s="301"/>
      <c r="H107" s="333"/>
      <c r="J107" s="333"/>
      <c r="K107" s="301"/>
      <c r="L107" s="333"/>
      <c r="M107" s="301"/>
      <c r="N107" s="333"/>
      <c r="P107" s="333"/>
      <c r="Q107" s="301"/>
      <c r="R107" s="333"/>
      <c r="S107" s="301"/>
      <c r="T107" s="333"/>
      <c r="V107" s="333"/>
      <c r="W107" s="301"/>
      <c r="X107" s="333"/>
      <c r="Y107" s="301"/>
      <c r="Z107" s="333"/>
    </row>
    <row r="108" spans="1:26" ht="15.75" x14ac:dyDescent="0.25">
      <c r="A108" s="301" t="s">
        <v>204</v>
      </c>
      <c r="B108" s="310"/>
      <c r="C108" s="340"/>
      <c r="D108" s="342">
        <v>1</v>
      </c>
      <c r="E108" s="301"/>
      <c r="F108" s="342">
        <v>0</v>
      </c>
      <c r="G108" s="301"/>
      <c r="H108" s="342">
        <f>SUM(D108,F108)</f>
        <v>1</v>
      </c>
      <c r="J108" s="342">
        <v>1</v>
      </c>
      <c r="K108" s="301"/>
      <c r="L108" s="342">
        <v>0</v>
      </c>
      <c r="M108" s="301"/>
      <c r="N108" s="342">
        <f>SUM(J108,L108)</f>
        <v>1</v>
      </c>
      <c r="P108" s="342">
        <v>2</v>
      </c>
      <c r="Q108" s="301"/>
      <c r="R108" s="383">
        <v>0</v>
      </c>
      <c r="S108" s="301"/>
      <c r="T108" s="342">
        <f>SUM(P108,R108)</f>
        <v>2</v>
      </c>
      <c r="V108" s="342">
        <v>0</v>
      </c>
      <c r="W108" s="301"/>
      <c r="X108" s="342">
        <v>0</v>
      </c>
      <c r="Y108" s="301"/>
      <c r="Z108" s="342">
        <f>SUM(V108,X108)</f>
        <v>0</v>
      </c>
    </row>
    <row r="109" spans="1:26" ht="5.0999999999999996" customHeight="1" x14ac:dyDescent="0.25">
      <c r="A109" s="301"/>
      <c r="B109" s="310"/>
      <c r="C109" s="340"/>
      <c r="D109" s="333"/>
      <c r="E109" s="301"/>
      <c r="F109" s="333"/>
      <c r="G109" s="301"/>
      <c r="H109" s="333"/>
      <c r="J109" s="333"/>
      <c r="K109" s="301"/>
      <c r="L109" s="333"/>
      <c r="M109" s="301"/>
      <c r="N109" s="333"/>
      <c r="P109" s="333"/>
      <c r="Q109" s="301"/>
      <c r="R109" s="333"/>
      <c r="S109" s="301"/>
      <c r="T109" s="333"/>
      <c r="V109" s="333"/>
      <c r="W109" s="301"/>
      <c r="X109" s="333"/>
      <c r="Y109" s="301"/>
      <c r="Z109" s="333"/>
    </row>
    <row r="110" spans="1:26" ht="15.75" x14ac:dyDescent="0.25">
      <c r="A110" s="301" t="s">
        <v>128</v>
      </c>
      <c r="B110" s="310"/>
      <c r="C110" s="341"/>
      <c r="D110" s="333">
        <f>D104+D106+D108</f>
        <v>1134</v>
      </c>
      <c r="E110" s="301"/>
      <c r="F110" s="333">
        <f>F104+F106+F108</f>
        <v>-140</v>
      </c>
      <c r="G110" s="301"/>
      <c r="H110" s="333">
        <f>H104+H106+H108</f>
        <v>994</v>
      </c>
      <c r="J110" s="333">
        <f>J104+J106+J108</f>
        <v>2534</v>
      </c>
      <c r="K110" s="301"/>
      <c r="L110" s="333">
        <f>L104+L106+L108</f>
        <v>-330</v>
      </c>
      <c r="M110" s="301"/>
      <c r="N110" s="333">
        <f>N104+N106+N108</f>
        <v>2204</v>
      </c>
      <c r="P110" s="333">
        <v>3631</v>
      </c>
      <c r="Q110" s="301"/>
      <c r="R110" s="333">
        <v>0</v>
      </c>
      <c r="S110" s="301"/>
      <c r="T110" s="333">
        <f>T104+T106+T108</f>
        <v>3631</v>
      </c>
      <c r="V110" s="333">
        <v>4886</v>
      </c>
      <c r="W110" s="301"/>
      <c r="X110" s="333">
        <f>X104+X106+X108</f>
        <v>0</v>
      </c>
      <c r="Y110" s="301"/>
      <c r="Z110" s="333">
        <f>Z104+Z106+Z108</f>
        <v>4886</v>
      </c>
    </row>
    <row r="111" spans="1:26" ht="5.0999999999999996" customHeight="1" x14ac:dyDescent="0.25">
      <c r="A111" s="301"/>
      <c r="B111" s="310"/>
      <c r="C111" s="341"/>
      <c r="D111" s="333"/>
      <c r="E111" s="301"/>
      <c r="F111" s="333"/>
      <c r="G111" s="301"/>
      <c r="H111" s="333"/>
      <c r="J111" s="333"/>
      <c r="K111" s="301"/>
      <c r="L111" s="333"/>
      <c r="M111" s="301"/>
      <c r="N111" s="333"/>
      <c r="P111" s="333"/>
      <c r="Q111" s="301"/>
      <c r="R111" s="333"/>
      <c r="S111" s="301"/>
      <c r="T111" s="333"/>
      <c r="V111" s="333"/>
      <c r="W111" s="301"/>
      <c r="X111" s="333"/>
      <c r="Y111" s="301"/>
      <c r="Z111" s="333"/>
    </row>
    <row r="112" spans="1:26" ht="15.75" x14ac:dyDescent="0.25">
      <c r="A112" s="355" t="s">
        <v>246</v>
      </c>
      <c r="B112" s="310"/>
      <c r="C112" s="341"/>
      <c r="D112" s="342">
        <v>-236</v>
      </c>
      <c r="E112" s="301"/>
      <c r="F112" s="342">
        <v>48</v>
      </c>
      <c r="G112" s="301"/>
      <c r="H112" s="342">
        <f>SUM(D112,F112)</f>
        <v>-188</v>
      </c>
      <c r="J112" s="342">
        <v>-615</v>
      </c>
      <c r="K112" s="301"/>
      <c r="L112" s="342">
        <v>116</v>
      </c>
      <c r="M112" s="301"/>
      <c r="N112" s="342">
        <f>SUM(J112,L112)</f>
        <v>-499</v>
      </c>
      <c r="P112" s="342">
        <v>-837</v>
      </c>
      <c r="Q112" s="301"/>
      <c r="R112" s="342">
        <v>0</v>
      </c>
      <c r="S112" s="301"/>
      <c r="T112" s="342">
        <f>SUM(P112,R112)</f>
        <v>-837</v>
      </c>
      <c r="V112" s="342">
        <v>-1133</v>
      </c>
      <c r="W112" s="301"/>
      <c r="X112" s="342">
        <v>0</v>
      </c>
      <c r="Y112" s="301"/>
      <c r="Z112" s="342">
        <f>SUM(V112,X112)</f>
        <v>-1133</v>
      </c>
    </row>
    <row r="113" spans="1:31" ht="5.0999999999999996" customHeight="1" x14ac:dyDescent="0.25">
      <c r="A113" s="301"/>
      <c r="B113" s="310"/>
      <c r="C113" s="341"/>
      <c r="D113" s="333"/>
      <c r="E113" s="301"/>
      <c r="F113" s="333"/>
      <c r="G113" s="301"/>
      <c r="H113" s="333"/>
      <c r="J113" s="333"/>
      <c r="K113" s="301"/>
      <c r="L113" s="333"/>
      <c r="M113" s="301"/>
      <c r="N113" s="333"/>
      <c r="P113" s="333"/>
      <c r="Q113" s="301"/>
      <c r="R113" s="333"/>
      <c r="S113" s="301"/>
      <c r="T113" s="333"/>
      <c r="V113" s="333"/>
      <c r="W113" s="301"/>
      <c r="X113" s="333"/>
      <c r="Y113" s="301"/>
      <c r="Z113" s="333"/>
    </row>
    <row r="114" spans="1:31" ht="15.75" x14ac:dyDescent="0.25">
      <c r="A114" s="355" t="s">
        <v>247</v>
      </c>
      <c r="B114" s="310"/>
      <c r="C114" s="341"/>
      <c r="D114" s="333">
        <f>D110+D112</f>
        <v>898</v>
      </c>
      <c r="E114" s="301"/>
      <c r="F114" s="333">
        <f>F110+F112</f>
        <v>-92</v>
      </c>
      <c r="G114" s="301"/>
      <c r="H114" s="333">
        <f>H110+H112</f>
        <v>806</v>
      </c>
      <c r="J114" s="333">
        <f>J110+J112</f>
        <v>1919</v>
      </c>
      <c r="K114" s="301"/>
      <c r="L114" s="333">
        <f>L110+L112</f>
        <v>-214</v>
      </c>
      <c r="M114" s="301"/>
      <c r="N114" s="333">
        <f>N110+N112</f>
        <v>1705</v>
      </c>
      <c r="P114" s="333">
        <v>2794</v>
      </c>
      <c r="Q114" s="301"/>
      <c r="R114" s="333">
        <v>0</v>
      </c>
      <c r="S114" s="301"/>
      <c r="T114" s="333">
        <f>T110+T112</f>
        <v>2794</v>
      </c>
      <c r="V114" s="333">
        <v>3753</v>
      </c>
      <c r="W114" s="301"/>
      <c r="X114" s="333">
        <f>X110+X112</f>
        <v>0</v>
      </c>
      <c r="Y114" s="301"/>
      <c r="Z114" s="333">
        <f>Z110+Z112</f>
        <v>3753</v>
      </c>
    </row>
    <row r="115" spans="1:31" ht="5.0999999999999996" customHeight="1" x14ac:dyDescent="0.25">
      <c r="A115" s="301"/>
      <c r="B115" s="310"/>
      <c r="C115" s="341"/>
      <c r="D115" s="333"/>
      <c r="E115" s="301"/>
      <c r="F115" s="333"/>
      <c r="G115" s="301"/>
      <c r="H115" s="333"/>
      <c r="J115" s="333"/>
      <c r="K115" s="301"/>
      <c r="L115" s="333"/>
      <c r="M115" s="301"/>
      <c r="N115" s="333"/>
      <c r="P115" s="333"/>
      <c r="Q115" s="301"/>
      <c r="R115" s="333"/>
      <c r="S115" s="301"/>
      <c r="T115" s="333"/>
      <c r="V115" s="333"/>
      <c r="W115" s="301"/>
      <c r="X115" s="333"/>
      <c r="Y115" s="301"/>
      <c r="Z115" s="333"/>
    </row>
    <row r="116" spans="1:31" ht="15.75" hidden="1" x14ac:dyDescent="0.25">
      <c r="A116" s="355" t="s">
        <v>230</v>
      </c>
      <c r="B116" s="310"/>
      <c r="C116" s="341"/>
      <c r="D116" s="333">
        <v>0</v>
      </c>
      <c r="E116" s="301"/>
      <c r="F116" s="333">
        <v>0</v>
      </c>
      <c r="G116" s="301"/>
      <c r="H116" s="333">
        <v>0</v>
      </c>
      <c r="J116" s="333">
        <v>0</v>
      </c>
      <c r="K116" s="301"/>
      <c r="L116" s="333">
        <v>0</v>
      </c>
      <c r="M116" s="301"/>
      <c r="N116" s="333">
        <v>0</v>
      </c>
      <c r="P116" s="333"/>
      <c r="Q116" s="301"/>
      <c r="R116" s="333">
        <v>0</v>
      </c>
      <c r="S116" s="301"/>
      <c r="T116" s="333"/>
      <c r="V116" s="333"/>
      <c r="W116" s="301"/>
      <c r="X116" s="333">
        <v>0</v>
      </c>
      <c r="Y116" s="301"/>
      <c r="Z116" s="333"/>
    </row>
    <row r="117" spans="1:31" ht="6.75" hidden="1" customHeight="1" x14ac:dyDescent="0.25">
      <c r="A117" s="355"/>
      <c r="B117" s="310"/>
      <c r="C117" s="341"/>
      <c r="D117" s="333"/>
      <c r="E117" s="301"/>
      <c r="F117" s="333"/>
      <c r="G117" s="301"/>
      <c r="H117" s="333"/>
      <c r="J117" s="333"/>
      <c r="K117" s="301"/>
      <c r="L117" s="333"/>
      <c r="M117" s="301"/>
      <c r="N117" s="333"/>
      <c r="P117" s="333"/>
      <c r="Q117" s="301"/>
      <c r="R117" s="333"/>
      <c r="S117" s="301"/>
      <c r="T117" s="333"/>
      <c r="V117" s="333"/>
      <c r="W117" s="301"/>
      <c r="X117" s="333"/>
      <c r="Y117" s="301"/>
      <c r="Z117" s="333"/>
    </row>
    <row r="118" spans="1:31" ht="15.75" x14ac:dyDescent="0.25">
      <c r="A118" s="301" t="s">
        <v>158</v>
      </c>
      <c r="B118" s="310"/>
      <c r="C118" s="341"/>
      <c r="D118" s="342">
        <v>0</v>
      </c>
      <c r="E118" s="301"/>
      <c r="F118" s="342">
        <v>92</v>
      </c>
      <c r="G118" s="301"/>
      <c r="H118" s="342">
        <f>SUM(D118,F118)</f>
        <v>92</v>
      </c>
      <c r="J118" s="342">
        <v>0</v>
      </c>
      <c r="K118" s="301"/>
      <c r="L118" s="342">
        <v>214</v>
      </c>
      <c r="M118" s="301"/>
      <c r="N118" s="342">
        <f>SUM(J118,L118)</f>
        <v>214</v>
      </c>
      <c r="P118" s="342">
        <v>1520</v>
      </c>
      <c r="Q118" s="301"/>
      <c r="R118" s="342">
        <v>0</v>
      </c>
      <c r="S118" s="301"/>
      <c r="T118" s="342">
        <f>SUM(P118,R118)</f>
        <v>1520</v>
      </c>
      <c r="V118" s="343">
        <v>1549</v>
      </c>
      <c r="W118" s="301"/>
      <c r="X118" s="342">
        <f>-(X114+X116)</f>
        <v>0</v>
      </c>
      <c r="Y118" s="301"/>
      <c r="Z118" s="342">
        <f>X118+V118</f>
        <v>1549</v>
      </c>
    </row>
    <row r="119" spans="1:31" ht="5.0999999999999996" customHeight="1" x14ac:dyDescent="0.25">
      <c r="A119" s="301"/>
      <c r="B119" s="310"/>
      <c r="C119" s="341"/>
      <c r="D119" s="333"/>
      <c r="E119" s="301"/>
      <c r="F119" s="333"/>
      <c r="G119" s="301"/>
      <c r="H119" s="333"/>
      <c r="J119" s="333"/>
      <c r="K119" s="301"/>
      <c r="L119" s="333"/>
      <c r="M119" s="301"/>
      <c r="N119" s="333"/>
      <c r="P119" s="333"/>
      <c r="Q119" s="301"/>
      <c r="R119" s="333"/>
      <c r="S119" s="301"/>
      <c r="T119" s="333"/>
      <c r="V119" s="333"/>
      <c r="W119" s="301"/>
      <c r="X119" s="333"/>
      <c r="Y119" s="301"/>
      <c r="Z119" s="333"/>
    </row>
    <row r="120" spans="1:31" ht="16.5" thickBot="1" x14ac:dyDescent="0.3">
      <c r="A120" s="310" t="s">
        <v>248</v>
      </c>
      <c r="B120" s="310"/>
      <c r="C120" s="341"/>
      <c r="D120" s="344">
        <f>D114+D118</f>
        <v>898</v>
      </c>
      <c r="E120" s="301"/>
      <c r="F120" s="344">
        <f>F114+F118</f>
        <v>0</v>
      </c>
      <c r="G120" s="301"/>
      <c r="H120" s="344">
        <f>H114+H118</f>
        <v>898</v>
      </c>
      <c r="J120" s="344">
        <f>J114+J118</f>
        <v>1919</v>
      </c>
      <c r="K120" s="301"/>
      <c r="L120" s="344">
        <f>L114+L118</f>
        <v>0</v>
      </c>
      <c r="M120" s="301"/>
      <c r="N120" s="344">
        <f>N114+N118</f>
        <v>1919</v>
      </c>
      <c r="P120" s="344">
        <v>4314</v>
      </c>
      <c r="Q120" s="301"/>
      <c r="R120" s="344">
        <f>R114+R118+R116</f>
        <v>0</v>
      </c>
      <c r="S120" s="301"/>
      <c r="T120" s="344">
        <f>T114+T116+T118</f>
        <v>4314</v>
      </c>
      <c r="V120" s="344">
        <v>5302</v>
      </c>
      <c r="W120" s="301"/>
      <c r="X120" s="344">
        <f>X114+X118+X116</f>
        <v>0</v>
      </c>
      <c r="Y120" s="301"/>
      <c r="Z120" s="344">
        <f>Z114+Z118</f>
        <v>5302</v>
      </c>
    </row>
    <row r="121" spans="1:31" ht="5.0999999999999996" customHeight="1" thickTop="1" x14ac:dyDescent="0.25">
      <c r="A121" s="310"/>
      <c r="B121" s="310"/>
      <c r="C121" s="341"/>
      <c r="D121" s="345"/>
      <c r="E121" s="301"/>
      <c r="F121" s="345"/>
      <c r="G121" s="301"/>
      <c r="H121" s="345"/>
      <c r="J121" s="345"/>
      <c r="K121" s="301"/>
      <c r="L121" s="345"/>
      <c r="M121" s="301"/>
      <c r="N121" s="345"/>
      <c r="P121" s="345"/>
      <c r="Q121" s="301"/>
      <c r="R121" s="345"/>
      <c r="S121" s="301"/>
      <c r="T121" s="345"/>
      <c r="V121" s="345"/>
      <c r="W121" s="301"/>
      <c r="X121" s="345"/>
      <c r="Y121" s="301"/>
      <c r="Z121" s="345"/>
    </row>
    <row r="122" spans="1:31" ht="16.5" thickBot="1" x14ac:dyDescent="0.3">
      <c r="A122" s="346" t="s">
        <v>207</v>
      </c>
      <c r="B122" s="310"/>
      <c r="C122" s="341"/>
      <c r="D122" s="347">
        <f>-D112/D110</f>
        <v>0.20811287477954143</v>
      </c>
      <c r="E122" s="341"/>
      <c r="F122" s="348"/>
      <c r="G122" s="341"/>
      <c r="H122" s="347">
        <f>-H112/H110</f>
        <v>0.1891348088531187</v>
      </c>
      <c r="J122" s="347">
        <f>-J112/J110</f>
        <v>0.24269928966061563</v>
      </c>
      <c r="K122" s="341"/>
      <c r="L122" s="348"/>
      <c r="M122" s="341"/>
      <c r="N122" s="347">
        <f>-N112/N110</f>
        <v>0.22640653357531759</v>
      </c>
      <c r="P122" s="347">
        <v>0.23051500963921784</v>
      </c>
      <c r="Q122" s="341"/>
      <c r="R122" s="348"/>
      <c r="S122" s="341"/>
      <c r="T122" s="347">
        <f>-T112/T110</f>
        <v>0.23051500963921784</v>
      </c>
      <c r="V122" s="347">
        <f>-V112/V110</f>
        <v>0.23188702415063447</v>
      </c>
      <c r="W122" s="341"/>
      <c r="X122" s="348"/>
      <c r="Y122" s="341"/>
      <c r="Z122" s="347">
        <f>-Z112/Z110</f>
        <v>0.23188702415063447</v>
      </c>
    </row>
    <row r="123" spans="1:31" ht="5.0999999999999996" customHeight="1" thickTop="1" x14ac:dyDescent="0.25">
      <c r="A123" s="310"/>
      <c r="B123" s="310"/>
      <c r="C123" s="341"/>
      <c r="D123" s="345"/>
      <c r="E123" s="301"/>
      <c r="F123" s="345"/>
      <c r="G123" s="301"/>
      <c r="H123" s="345"/>
      <c r="J123" s="345"/>
      <c r="K123" s="301"/>
      <c r="L123" s="345"/>
      <c r="M123" s="301"/>
      <c r="N123" s="345"/>
      <c r="P123" s="345"/>
      <c r="Q123" s="301"/>
      <c r="R123" s="345"/>
      <c r="S123" s="301"/>
      <c r="T123" s="345"/>
      <c r="V123" s="345"/>
      <c r="W123" s="301"/>
      <c r="X123" s="345"/>
      <c r="Y123" s="301"/>
      <c r="Z123" s="345"/>
    </row>
    <row r="124" spans="1:31" ht="15.75" x14ac:dyDescent="0.25">
      <c r="A124" s="310" t="s">
        <v>127</v>
      </c>
      <c r="B124" s="310"/>
      <c r="C124" s="341"/>
      <c r="D124" s="345"/>
      <c r="E124" s="301"/>
      <c r="F124" s="345"/>
      <c r="G124" s="301"/>
      <c r="H124" s="345"/>
      <c r="J124" s="345"/>
      <c r="K124" s="301"/>
      <c r="L124" s="345"/>
      <c r="M124" s="301"/>
      <c r="N124" s="345"/>
      <c r="P124" s="345"/>
      <c r="Q124" s="301"/>
      <c r="R124" s="345"/>
      <c r="S124" s="301"/>
      <c r="T124" s="345"/>
      <c r="V124" s="345"/>
      <c r="W124" s="301"/>
      <c r="X124" s="345"/>
      <c r="Y124" s="301"/>
      <c r="Z124" s="345"/>
    </row>
    <row r="125" spans="1:31" ht="5.0999999999999996" customHeight="1" x14ac:dyDescent="0.25">
      <c r="A125" s="310"/>
      <c r="B125" s="310"/>
      <c r="C125" s="341"/>
      <c r="D125" s="345"/>
      <c r="E125" s="301"/>
      <c r="F125" s="345"/>
      <c r="G125" s="301"/>
      <c r="H125" s="345"/>
      <c r="J125" s="345"/>
      <c r="K125" s="301"/>
      <c r="L125" s="345"/>
      <c r="M125" s="301"/>
      <c r="N125" s="345"/>
      <c r="P125" s="345"/>
      <c r="Q125" s="301"/>
      <c r="R125" s="345"/>
      <c r="S125" s="301"/>
      <c r="T125" s="345"/>
      <c r="V125" s="345"/>
      <c r="W125" s="301"/>
      <c r="X125" s="345"/>
      <c r="Y125" s="301"/>
      <c r="Z125" s="345"/>
    </row>
    <row r="126" spans="1:31" ht="15.75" x14ac:dyDescent="0.25">
      <c r="A126" s="301" t="s">
        <v>208</v>
      </c>
      <c r="B126" s="310"/>
      <c r="C126" s="341"/>
      <c r="D126" s="345"/>
      <c r="E126" s="301"/>
      <c r="F126" s="345"/>
      <c r="G126" s="301"/>
      <c r="H126" s="345"/>
      <c r="J126" s="345"/>
      <c r="K126" s="301"/>
      <c r="L126" s="345"/>
      <c r="M126" s="301"/>
      <c r="N126" s="345"/>
      <c r="P126" s="345"/>
      <c r="Q126" s="301"/>
      <c r="R126" s="345"/>
      <c r="S126" s="301"/>
      <c r="T126" s="345"/>
      <c r="V126" s="345"/>
      <c r="W126" s="301"/>
      <c r="X126" s="345"/>
      <c r="Y126" s="301"/>
      <c r="Z126" s="345"/>
      <c r="AE126" s="379"/>
    </row>
    <row r="127" spans="1:31" ht="5.0999999999999996" customHeight="1" x14ac:dyDescent="0.25">
      <c r="A127" s="301"/>
      <c r="B127" s="310"/>
      <c r="C127" s="341"/>
      <c r="D127" s="345"/>
      <c r="E127" s="301"/>
      <c r="F127" s="345"/>
      <c r="G127" s="301"/>
      <c r="H127" s="345"/>
      <c r="J127" s="345"/>
      <c r="K127" s="301"/>
      <c r="L127" s="345"/>
      <c r="M127" s="301"/>
      <c r="N127" s="345"/>
      <c r="P127" s="345"/>
      <c r="Q127" s="301"/>
      <c r="R127" s="345"/>
      <c r="S127" s="301"/>
      <c r="T127" s="345"/>
      <c r="V127" s="345"/>
      <c r="W127" s="301"/>
      <c r="X127" s="345"/>
      <c r="Y127" s="301"/>
      <c r="Z127" s="345"/>
      <c r="AE127" s="379"/>
    </row>
    <row r="128" spans="1:31" ht="15.75" x14ac:dyDescent="0.25">
      <c r="A128" s="346" t="s">
        <v>209</v>
      </c>
      <c r="B128" s="310"/>
      <c r="C128" s="341"/>
      <c r="D128" s="349">
        <f>D120/304.5</f>
        <v>2.9490968801313628</v>
      </c>
      <c r="E128" s="301"/>
      <c r="F128" s="350">
        <f>+H128-D128</f>
        <v>-0.30213464696223324</v>
      </c>
      <c r="G128" s="301"/>
      <c r="H128" s="349">
        <f>H114/304.5</f>
        <v>2.6469622331691296</v>
      </c>
      <c r="J128" s="349">
        <f>J120/303.8</f>
        <v>6.3166556945358785</v>
      </c>
      <c r="K128" s="301"/>
      <c r="L128" s="350">
        <v>-0.71</v>
      </c>
      <c r="M128" s="301"/>
      <c r="N128" s="349">
        <f>N114/303.8</f>
        <v>5.612244897959183</v>
      </c>
      <c r="P128" s="349">
        <f>P114/302</f>
        <v>9.2516556291390728</v>
      </c>
      <c r="Q128" s="301"/>
      <c r="R128" s="350">
        <f>+T128-P128</f>
        <v>0</v>
      </c>
      <c r="S128" s="301"/>
      <c r="T128" s="349">
        <f>T114/302</f>
        <v>9.2516556291390728</v>
      </c>
      <c r="V128" s="349">
        <f>V114/299.3</f>
        <v>12.539258269295022</v>
      </c>
      <c r="W128" s="301"/>
      <c r="X128" s="350">
        <f>+Z128-V128</f>
        <v>0</v>
      </c>
      <c r="Y128" s="301"/>
      <c r="Z128" s="349">
        <f>Z114/299.3</f>
        <v>12.539258269295022</v>
      </c>
      <c r="AE128" s="379"/>
    </row>
    <row r="129" spans="1:26" ht="5.0999999999999996" customHeight="1" x14ac:dyDescent="0.25">
      <c r="A129" s="346"/>
      <c r="B129" s="310"/>
      <c r="C129" s="341"/>
      <c r="D129" s="351"/>
      <c r="E129" s="301"/>
      <c r="F129" s="352"/>
      <c r="G129" s="301"/>
      <c r="H129" s="351"/>
      <c r="J129" s="351"/>
      <c r="K129" s="301"/>
      <c r="L129" s="352"/>
      <c r="M129" s="301"/>
      <c r="N129" s="351"/>
      <c r="P129" s="351"/>
      <c r="Q129" s="301"/>
      <c r="R129" s="352"/>
      <c r="S129" s="301"/>
      <c r="T129" s="351"/>
      <c r="V129" s="351"/>
      <c r="W129" s="301"/>
      <c r="X129" s="352"/>
      <c r="Y129" s="301"/>
      <c r="Z129" s="351"/>
    </row>
    <row r="130" spans="1:26" ht="15.75" x14ac:dyDescent="0.25">
      <c r="A130" s="346" t="s">
        <v>210</v>
      </c>
      <c r="B130" s="310"/>
      <c r="C130" s="341"/>
      <c r="D130" s="353">
        <v>0</v>
      </c>
      <c r="E130" s="301"/>
      <c r="F130" s="354">
        <f>+H130-D130</f>
        <v>0.29889538661468484</v>
      </c>
      <c r="G130" s="301"/>
      <c r="H130" s="353">
        <f>(H118/307.8)</f>
        <v>0.29889538661468484</v>
      </c>
      <c r="J130" s="353">
        <v>0</v>
      </c>
      <c r="K130" s="301"/>
      <c r="L130" s="354">
        <f>+N130-J130</f>
        <v>0.71441079657669515</v>
      </c>
      <c r="M130" s="301"/>
      <c r="N130" s="353">
        <f>(N118/303.8)+0.01</f>
        <v>0.71441079657669515</v>
      </c>
      <c r="P130" s="353">
        <f>(P118/302)</f>
        <v>5.0331125827814569</v>
      </c>
      <c r="Q130" s="301"/>
      <c r="R130" s="354">
        <f>+T130-P130</f>
        <v>0</v>
      </c>
      <c r="S130" s="301"/>
      <c r="T130" s="353">
        <f>(T118/302)</f>
        <v>5.0331125827814569</v>
      </c>
      <c r="V130" s="353">
        <f>(V118/299.3)-0.01</f>
        <v>5.1654092883394584</v>
      </c>
      <c r="W130" s="301"/>
      <c r="X130" s="354">
        <f>+Z130-V130</f>
        <v>0</v>
      </c>
      <c r="Y130" s="301"/>
      <c r="Z130" s="353">
        <f>(Z118/299.3)-0.01</f>
        <v>5.1654092883394584</v>
      </c>
    </row>
    <row r="131" spans="1:26" ht="5.0999999999999996" customHeight="1" x14ac:dyDescent="0.25">
      <c r="A131" s="346"/>
      <c r="B131" s="310"/>
      <c r="C131" s="341"/>
      <c r="D131" s="351"/>
      <c r="E131" s="301"/>
      <c r="F131" s="352"/>
      <c r="G131" s="301"/>
      <c r="H131" s="351"/>
      <c r="J131" s="351"/>
      <c r="K131" s="301"/>
      <c r="L131" s="352"/>
      <c r="M131" s="301"/>
      <c r="N131" s="351"/>
      <c r="P131" s="351"/>
      <c r="Q131" s="301"/>
      <c r="R131" s="352"/>
      <c r="S131" s="301"/>
      <c r="T131" s="351"/>
      <c r="V131" s="351"/>
      <c r="W131" s="301"/>
      <c r="X131" s="352"/>
      <c r="Y131" s="301"/>
      <c r="Z131" s="351"/>
    </row>
    <row r="132" spans="1:26" ht="16.5" thickBot="1" x14ac:dyDescent="0.3">
      <c r="A132" s="355" t="s">
        <v>211</v>
      </c>
      <c r="B132" s="310"/>
      <c r="C132" s="341"/>
      <c r="D132" s="356">
        <f>D128+D130</f>
        <v>2.9490968801313628</v>
      </c>
      <c r="E132" s="301"/>
      <c r="F132" s="357">
        <f>F128+F130</f>
        <v>-3.2392603475484005E-3</v>
      </c>
      <c r="G132" s="301"/>
      <c r="H132" s="356">
        <f>H128+H130</f>
        <v>2.9458576197838147</v>
      </c>
      <c r="J132" s="356">
        <f>J128+J130</f>
        <v>6.3166556945358785</v>
      </c>
      <c r="K132" s="301"/>
      <c r="L132" s="357">
        <f>L128+L130</f>
        <v>4.4107965766951862E-3</v>
      </c>
      <c r="M132" s="301"/>
      <c r="N132" s="356">
        <f>N128+N130-0.01</f>
        <v>6.3166556945358785</v>
      </c>
      <c r="P132" s="356">
        <f>P128+P130</f>
        <v>14.284768211920529</v>
      </c>
      <c r="Q132" s="301"/>
      <c r="R132" s="357">
        <f>R128+R130</f>
        <v>0</v>
      </c>
      <c r="S132" s="301"/>
      <c r="T132" s="356">
        <f>T128+T130</f>
        <v>14.284768211920529</v>
      </c>
      <c r="V132" s="356">
        <f>V128+V130+0.01</f>
        <v>17.714667557634481</v>
      </c>
      <c r="W132" s="301"/>
      <c r="X132" s="357">
        <f>X128+X130</f>
        <v>0</v>
      </c>
      <c r="Y132" s="301"/>
      <c r="Z132" s="356">
        <f>Z128+Z130+0.01</f>
        <v>17.714667557634481</v>
      </c>
    </row>
    <row r="133" spans="1:26" ht="5.0999999999999996" customHeight="1" thickTop="1" x14ac:dyDescent="0.25">
      <c r="A133" s="310"/>
      <c r="B133" s="310"/>
      <c r="C133" s="341"/>
      <c r="D133" s="351"/>
      <c r="E133" s="301"/>
      <c r="F133" s="352"/>
      <c r="G133" s="301"/>
      <c r="H133" s="351"/>
      <c r="J133" s="351"/>
      <c r="K133" s="301"/>
      <c r="L133" s="352"/>
      <c r="M133" s="301"/>
      <c r="N133" s="351"/>
      <c r="P133" s="351"/>
      <c r="Q133" s="301"/>
      <c r="R133" s="352"/>
      <c r="S133" s="301"/>
      <c r="T133" s="351"/>
      <c r="V133" s="351"/>
      <c r="W133" s="301"/>
      <c r="X133" s="352"/>
      <c r="Y133" s="301"/>
      <c r="Z133" s="351"/>
    </row>
    <row r="134" spans="1:26" ht="15.75" x14ac:dyDescent="0.25">
      <c r="A134" s="355" t="s">
        <v>212</v>
      </c>
      <c r="B134" s="310"/>
      <c r="C134" s="341"/>
      <c r="D134" s="351"/>
      <c r="E134" s="301"/>
      <c r="F134" s="352"/>
      <c r="G134" s="301"/>
      <c r="H134" s="351"/>
      <c r="J134" s="351"/>
      <c r="K134" s="301"/>
      <c r="L134" s="352"/>
      <c r="M134" s="301"/>
      <c r="N134" s="351"/>
      <c r="P134" s="351"/>
      <c r="Q134" s="301"/>
      <c r="R134" s="352"/>
      <c r="S134" s="301"/>
      <c r="T134" s="351"/>
      <c r="V134" s="351"/>
      <c r="W134" s="301"/>
      <c r="X134" s="352"/>
      <c r="Y134" s="301"/>
      <c r="Z134" s="351"/>
    </row>
    <row r="135" spans="1:26" ht="5.0999999999999996" customHeight="1" x14ac:dyDescent="0.25">
      <c r="A135" s="355"/>
      <c r="B135" s="310"/>
      <c r="C135" s="341"/>
      <c r="D135" s="351"/>
      <c r="E135" s="301"/>
      <c r="F135" s="352"/>
      <c r="G135" s="301"/>
      <c r="H135" s="351"/>
      <c r="J135" s="351"/>
      <c r="K135" s="301"/>
      <c r="L135" s="352"/>
      <c r="M135" s="301"/>
      <c r="N135" s="351"/>
      <c r="P135" s="351"/>
      <c r="Q135" s="301"/>
      <c r="R135" s="352"/>
      <c r="S135" s="301"/>
      <c r="T135" s="351"/>
      <c r="V135" s="351"/>
      <c r="W135" s="301"/>
      <c r="X135" s="352"/>
      <c r="Y135" s="301"/>
      <c r="Z135" s="351"/>
    </row>
    <row r="136" spans="1:26" ht="15.75" x14ac:dyDescent="0.25">
      <c r="A136" s="346" t="s">
        <v>209</v>
      </c>
      <c r="B136" s="310"/>
      <c r="C136" s="341"/>
      <c r="D136" s="349">
        <f>D114/308.7</f>
        <v>2.9089731130547456</v>
      </c>
      <c r="E136" s="301"/>
      <c r="F136" s="350">
        <f>+H136-D136</f>
        <v>-0.29802397149335924</v>
      </c>
      <c r="G136" s="301"/>
      <c r="H136" s="349">
        <f>H114/308.7</f>
        <v>2.6109491415613864</v>
      </c>
      <c r="J136" s="349">
        <f>J120/307.9</f>
        <v>6.2325430334524201</v>
      </c>
      <c r="K136" s="301"/>
      <c r="L136" s="350">
        <v>-0.69</v>
      </c>
      <c r="M136" s="301"/>
      <c r="N136" s="349">
        <f>N114/307.9</f>
        <v>5.5375121792789868</v>
      </c>
      <c r="P136" s="349">
        <f>P114/305.9</f>
        <v>9.1337038247793405</v>
      </c>
      <c r="Q136" s="301"/>
      <c r="R136" s="350">
        <f>+T136-P136</f>
        <v>0</v>
      </c>
      <c r="S136" s="301"/>
      <c r="T136" s="349">
        <f>T114/305.9</f>
        <v>9.1337038247793405</v>
      </c>
      <c r="V136" s="349">
        <f>V114/303.1</f>
        <v>12.382052128010557</v>
      </c>
      <c r="W136" s="301"/>
      <c r="X136" s="350">
        <f>+Z136-V136</f>
        <v>0</v>
      </c>
      <c r="Y136" s="301"/>
      <c r="Z136" s="349">
        <f>Z114/303.1</f>
        <v>12.382052128010557</v>
      </c>
    </row>
    <row r="137" spans="1:26" ht="5.0999999999999996" customHeight="1" x14ac:dyDescent="0.25">
      <c r="A137" s="346"/>
      <c r="B137" s="310"/>
      <c r="C137" s="341"/>
      <c r="D137" s="351"/>
      <c r="E137" s="301"/>
      <c r="F137" s="352"/>
      <c r="G137" s="301"/>
      <c r="H137" s="351"/>
      <c r="J137" s="351"/>
      <c r="K137" s="301"/>
      <c r="L137" s="352"/>
      <c r="M137" s="301"/>
      <c r="N137" s="351"/>
      <c r="P137" s="351"/>
      <c r="Q137" s="301"/>
      <c r="R137" s="352"/>
      <c r="S137" s="301"/>
      <c r="T137" s="351"/>
      <c r="V137" s="351"/>
      <c r="W137" s="301"/>
      <c r="X137" s="352"/>
      <c r="Y137" s="301"/>
      <c r="Z137" s="351"/>
    </row>
    <row r="138" spans="1:26" ht="15.75" x14ac:dyDescent="0.25">
      <c r="A138" s="346" t="s">
        <v>210</v>
      </c>
      <c r="B138" s="310"/>
      <c r="C138" s="341"/>
      <c r="D138" s="353">
        <v>0</v>
      </c>
      <c r="E138" s="301"/>
      <c r="F138" s="354">
        <f>+H138-D138</f>
        <v>0.29802397149335924</v>
      </c>
      <c r="G138" s="301"/>
      <c r="H138" s="353">
        <f>H140-H136</f>
        <v>0.29802397149335924</v>
      </c>
      <c r="J138" s="353">
        <v>0</v>
      </c>
      <c r="K138" s="301"/>
      <c r="L138" s="354">
        <v>0.69</v>
      </c>
      <c r="M138" s="301"/>
      <c r="N138" s="353">
        <f>(N118/307.9)-0.01</f>
        <v>0.68503085417343301</v>
      </c>
      <c r="P138" s="353">
        <f>(P118/305.9)</f>
        <v>4.9689440993788825</v>
      </c>
      <c r="Q138" s="301"/>
      <c r="R138" s="354">
        <f>+T138-P138</f>
        <v>0</v>
      </c>
      <c r="S138" s="301"/>
      <c r="T138" s="353">
        <f>(T118/305.9)</f>
        <v>4.9689440993788825</v>
      </c>
      <c r="V138" s="353">
        <f>(V118/303.1)</f>
        <v>5.11052457934675</v>
      </c>
      <c r="W138" s="301"/>
      <c r="X138" s="354">
        <f>+Z138-V138</f>
        <v>0</v>
      </c>
      <c r="Y138" s="301"/>
      <c r="Z138" s="353">
        <f>(Z118/303.1)</f>
        <v>5.11052457934675</v>
      </c>
    </row>
    <row r="139" spans="1:26" ht="5.0999999999999996" customHeight="1" x14ac:dyDescent="0.25">
      <c r="A139" s="346"/>
      <c r="B139" s="310"/>
      <c r="C139" s="341"/>
      <c r="D139" s="351"/>
      <c r="E139" s="301"/>
      <c r="F139" s="352"/>
      <c r="G139" s="301"/>
      <c r="H139" s="351"/>
      <c r="J139" s="351"/>
      <c r="K139" s="301"/>
      <c r="L139" s="352"/>
      <c r="M139" s="301"/>
      <c r="N139" s="351"/>
      <c r="P139" s="351"/>
      <c r="Q139" s="301"/>
      <c r="R139" s="352"/>
      <c r="S139" s="301"/>
      <c r="T139" s="351"/>
      <c r="V139" s="351"/>
      <c r="W139" s="301"/>
      <c r="X139" s="352"/>
      <c r="Y139" s="301"/>
      <c r="Z139" s="351"/>
    </row>
    <row r="140" spans="1:26" ht="16.5" thickBot="1" x14ac:dyDescent="0.3">
      <c r="A140" s="355" t="s">
        <v>213</v>
      </c>
      <c r="B140" s="310"/>
      <c r="C140" s="341"/>
      <c r="D140" s="356">
        <f>D136+D138</f>
        <v>2.9089731130547456</v>
      </c>
      <c r="E140" s="301"/>
      <c r="F140" s="357">
        <f>F136+F138</f>
        <v>0</v>
      </c>
      <c r="G140" s="301"/>
      <c r="H140" s="356">
        <f>H120/308.7</f>
        <v>2.9089731130547456</v>
      </c>
      <c r="J140" s="356">
        <f>J136+J138</f>
        <v>6.2325430334524201</v>
      </c>
      <c r="K140" s="301"/>
      <c r="L140" s="357">
        <f>L136+L138</f>
        <v>0</v>
      </c>
      <c r="M140" s="301"/>
      <c r="N140" s="356">
        <f>N136+N138+0.01</f>
        <v>6.2325430334524192</v>
      </c>
      <c r="P140" s="356">
        <f>P136+P138</f>
        <v>14.102647924158223</v>
      </c>
      <c r="Q140" s="301"/>
      <c r="R140" s="357">
        <f>R136+R138</f>
        <v>0</v>
      </c>
      <c r="S140" s="301"/>
      <c r="T140" s="356">
        <f>T136+T138</f>
        <v>14.102647924158223</v>
      </c>
      <c r="V140" s="356">
        <f>V136+V138</f>
        <v>17.492576707357308</v>
      </c>
      <c r="W140" s="301"/>
      <c r="X140" s="357">
        <f>X136+X138</f>
        <v>0</v>
      </c>
      <c r="Y140" s="301"/>
      <c r="Z140" s="356">
        <f>Z136+Z138</f>
        <v>17.492576707357308</v>
      </c>
    </row>
    <row r="141" spans="1:26" ht="15.75" thickTop="1" x14ac:dyDescent="0.2"/>
    <row r="142" spans="1:26" x14ac:dyDescent="0.2">
      <c r="A142" s="407" t="s">
        <v>250</v>
      </c>
      <c r="B142" s="408"/>
      <c r="C142" s="408"/>
      <c r="D142" s="408"/>
      <c r="E142" s="408"/>
      <c r="F142" s="408"/>
      <c r="G142" s="408"/>
      <c r="H142" s="408"/>
      <c r="I142" s="408"/>
      <c r="J142" s="409"/>
      <c r="K142" s="409"/>
      <c r="L142" s="409"/>
      <c r="M142" s="409"/>
      <c r="N142" s="409"/>
      <c r="O142" s="409"/>
      <c r="P142" s="409"/>
      <c r="Q142" s="409"/>
      <c r="R142" s="409"/>
      <c r="S142" s="409"/>
      <c r="T142" s="409"/>
      <c r="U142" s="409"/>
      <c r="V142" s="409"/>
      <c r="W142" s="409"/>
      <c r="X142" s="409"/>
      <c r="Y142" s="409"/>
      <c r="Z142" s="409"/>
    </row>
    <row r="143" spans="1:26" x14ac:dyDescent="0.2">
      <c r="A143" s="407" t="s">
        <v>245</v>
      </c>
      <c r="B143" s="408"/>
      <c r="C143" s="408"/>
      <c r="D143" s="408"/>
      <c r="E143" s="408"/>
      <c r="F143" s="408"/>
      <c r="G143" s="408"/>
      <c r="H143" s="408"/>
      <c r="I143" s="408"/>
      <c r="J143" s="409"/>
      <c r="K143" s="409"/>
      <c r="L143" s="409"/>
      <c r="M143" s="409"/>
      <c r="N143" s="409"/>
      <c r="O143" s="409"/>
      <c r="P143" s="409"/>
      <c r="Q143" s="409"/>
      <c r="R143" s="409"/>
      <c r="S143" s="409"/>
      <c r="T143" s="409"/>
      <c r="U143" s="409"/>
      <c r="V143" s="409"/>
      <c r="W143" s="409"/>
      <c r="X143" s="409"/>
      <c r="Y143" s="409"/>
      <c r="Z143" s="409"/>
    </row>
  </sheetData>
  <mergeCells count="10">
    <mergeCell ref="A142:Z142"/>
    <mergeCell ref="A143:Z143"/>
    <mergeCell ref="D6:H6"/>
    <mergeCell ref="J6:N6"/>
    <mergeCell ref="P6:T6"/>
    <mergeCell ref="V6:Z6"/>
    <mergeCell ref="D75:H75"/>
    <mergeCell ref="J75:N75"/>
    <mergeCell ref="P75:T75"/>
    <mergeCell ref="V75:Z75"/>
  </mergeCells>
  <printOptions horizontalCentered="1"/>
  <pageMargins left="0.16" right="0.16" top="0.27" bottom="0.33" header="0.28999999999999998" footer="0.16"/>
  <pageSetup scale="36" orientation="landscape" r:id="rId1"/>
  <headerFooter>
    <oddFooter>&amp;C&amp;14Table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Restated 15 QTRS</vt:lpstr>
      <vt:lpstr>Restated 16 QTRS</vt:lpstr>
      <vt:lpstr>'Balance Sheet'!Print_Area</vt:lpstr>
      <vt:lpstr>'Cash Flow'!Print_Area</vt:lpstr>
      <vt:lpstr>'Consolidated Results'!Print_Area</vt:lpstr>
      <vt:lpstr>'Equity Summary'!Print_Area</vt:lpstr>
      <vt:lpstr>'Operating Data Update '!Print_Area</vt:lpstr>
      <vt:lpstr>'Restated 15 QTRS'!Print_Area</vt:lpstr>
      <vt:lpstr>'Restated 16 QTRS'!Print_Area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2017-01-23T22:40:12Z</dcterms:created>
  <dcterms:modified xsi:type="dcterms:W3CDTF">2017-01-23T22:40:21Z</dcterms:modified>
</cp:coreProperties>
</file>